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6180" windowHeight="6675" tabRatio="782"/>
  </bookViews>
  <sheets>
    <sheet name="CENA" sheetId="1" r:id="rId1"/>
    <sheet name="MATERIAŁY" sheetId="4" r:id="rId2"/>
    <sheet name="PÓŁFA_EWID" sheetId="6" r:id="rId3"/>
    <sheet name="WYR_EWID" sheetId="7" r:id="rId4"/>
    <sheet name="ŚROD_NAT" sheetId="2" r:id="rId5"/>
    <sheet name="MAGA_OBCE" sheetId="5" r:id="rId6"/>
    <sheet name="URZ_DOD" sheetId="12" r:id="rId7"/>
    <sheet name="PERSONEL_MASZ" sheetId="11" r:id="rId8"/>
    <sheet name="KREDYTY" sheetId="15" r:id="rId9"/>
    <sheet name="PRZP_PIEN" sheetId="14" r:id="rId10"/>
  </sheets>
  <externalReferences>
    <externalReference r:id="rId11"/>
  </externalReferences>
  <calcPr calcId="114210"/>
</workbook>
</file>

<file path=xl/calcChain.xml><?xml version="1.0" encoding="utf-8"?>
<calcChain xmlns="http://schemas.openxmlformats.org/spreadsheetml/2006/main">
  <c r="L30" i="14"/>
  <c r="L17"/>
  <c r="F14" i="12"/>
  <c r="F11" i="14"/>
  <c r="F9"/>
  <c r="F10"/>
  <c r="G55" i="1"/>
  <c r="D19" i="11"/>
  <c r="D34" i="7"/>
  <c r="E34"/>
  <c r="G34"/>
  <c r="F7" i="14"/>
  <c r="L20"/>
  <c r="D65" i="11"/>
  <c r="L9" i="4"/>
  <c r="K39" i="7"/>
  <c r="G36" i="4"/>
  <c r="H36"/>
  <c r="F19" i="14"/>
  <c r="D51" i="11"/>
  <c r="D32"/>
  <c r="I19"/>
  <c r="D17"/>
  <c r="G13" i="6"/>
  <c r="E10" i="1"/>
  <c r="D13" i="6"/>
  <c r="E13"/>
  <c r="H20" i="2"/>
  <c r="G48" i="4"/>
  <c r="I9" i="5"/>
  <c r="I10"/>
  <c r="I11"/>
  <c r="I12"/>
  <c r="G13" i="7"/>
  <c r="G26" i="4"/>
  <c r="G16" i="1"/>
  <c r="L28" i="14"/>
  <c r="C58" i="4"/>
  <c r="D58"/>
  <c r="G22" i="1"/>
  <c r="L29" i="14"/>
  <c r="E23" i="1"/>
  <c r="E24"/>
  <c r="C36" i="4"/>
  <c r="D36"/>
  <c r="L32" i="14"/>
  <c r="F14"/>
  <c r="L34"/>
  <c r="L33"/>
  <c r="L19"/>
  <c r="L18"/>
  <c r="D6" i="11"/>
  <c r="D28"/>
  <c r="D30"/>
  <c r="H5" i="15"/>
  <c r="H6"/>
  <c r="H10"/>
  <c r="H11"/>
  <c r="H14"/>
  <c r="H16"/>
  <c r="L27" i="14"/>
  <c r="F12"/>
  <c r="L24"/>
  <c r="L26"/>
  <c r="M9" i="12"/>
  <c r="M8"/>
  <c r="I5"/>
  <c r="J5"/>
  <c r="K5"/>
  <c r="I6"/>
  <c r="J6"/>
  <c r="K6"/>
  <c r="I7"/>
  <c r="J7"/>
  <c r="K7"/>
  <c r="I8"/>
  <c r="J8"/>
  <c r="K8"/>
  <c r="I9"/>
  <c r="J9"/>
  <c r="K9"/>
  <c r="F13"/>
  <c r="F15"/>
  <c r="D7" i="11"/>
  <c r="D45"/>
  <c r="D8"/>
  <c r="I9"/>
  <c r="G31" i="1"/>
  <c r="F31"/>
  <c r="D10" i="11"/>
  <c r="D35"/>
  <c r="D36"/>
  <c r="I10"/>
  <c r="G32" i="1"/>
  <c r="F32"/>
  <c r="D13" i="11"/>
  <c r="D21"/>
  <c r="D29"/>
  <c r="I29"/>
  <c r="I31"/>
  <c r="D44"/>
  <c r="D49"/>
  <c r="D46"/>
  <c r="D48"/>
  <c r="D54"/>
  <c r="D64"/>
  <c r="F14" i="1"/>
  <c r="G14"/>
  <c r="F52"/>
  <c r="G58"/>
  <c r="G49"/>
  <c r="L22" i="14"/>
  <c r="F48" i="1"/>
  <c r="F30"/>
  <c r="F37"/>
  <c r="F38"/>
  <c r="F44"/>
  <c r="F45"/>
  <c r="F46"/>
  <c r="B44" i="6"/>
  <c r="B35"/>
  <c r="C44"/>
  <c r="C43" i="7"/>
  <c r="C23"/>
  <c r="I1" i="5"/>
  <c r="F1"/>
  <c r="C1"/>
  <c r="I1" i="7"/>
  <c r="F1"/>
  <c r="C1"/>
  <c r="A13"/>
  <c r="A23"/>
  <c r="A34"/>
  <c r="A43"/>
  <c r="C1" i="6"/>
  <c r="A23"/>
  <c r="A35"/>
  <c r="A44"/>
  <c r="I1" i="2"/>
  <c r="F1"/>
  <c r="C1"/>
  <c r="I1" i="6"/>
  <c r="F1"/>
  <c r="H25" i="2"/>
  <c r="H26"/>
  <c r="G43" i="1"/>
  <c r="F43"/>
  <c r="C23" i="6"/>
  <c r="H17" i="2"/>
  <c r="H18"/>
  <c r="H19"/>
  <c r="H21"/>
  <c r="H14"/>
  <c r="F35" i="4"/>
  <c r="F32" i="14"/>
  <c r="F57" i="4"/>
  <c r="F34" i="14"/>
  <c r="F58" i="4"/>
  <c r="F33" i="14"/>
  <c r="H48" i="4"/>
  <c r="I48"/>
  <c r="F36"/>
  <c r="F31" i="14"/>
  <c r="H26" i="4"/>
  <c r="I26"/>
  <c r="J1"/>
  <c r="G1"/>
  <c r="C1"/>
  <c r="A48"/>
  <c r="A50" i="1"/>
  <c r="A51"/>
  <c r="A52"/>
  <c r="A53"/>
  <c r="A54"/>
  <c r="A55"/>
  <c r="A56"/>
  <c r="A57"/>
  <c r="A58"/>
  <c r="A59"/>
  <c r="A27"/>
  <c r="A28"/>
  <c r="A18"/>
  <c r="A19"/>
  <c r="A6" i="2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F22" i="14"/>
  <c r="E11" i="1"/>
  <c r="D35" i="6"/>
  <c r="F25" i="14"/>
  <c r="G56" i="1"/>
  <c r="D13" i="7"/>
  <c r="E13"/>
  <c r="E25" i="1"/>
  <c r="K37" i="7"/>
  <c r="K38"/>
  <c r="K40"/>
  <c r="K42"/>
  <c r="E35" i="6"/>
  <c r="F21" i="14"/>
  <c r="M10" i="12"/>
  <c r="K10"/>
  <c r="G35" i="1"/>
  <c r="F35"/>
  <c r="J10" i="12"/>
  <c r="F27" i="14"/>
  <c r="G58" i="4"/>
  <c r="H13" i="7"/>
  <c r="I18" i="5"/>
  <c r="I19"/>
  <c r="I20"/>
  <c r="I21"/>
  <c r="I23"/>
  <c r="G40" i="1"/>
  <c r="F40"/>
  <c r="F55"/>
  <c r="J26" i="4"/>
  <c r="J48"/>
  <c r="G33" i="1"/>
  <c r="F33"/>
  <c r="F23" i="14"/>
  <c r="H18" i="15"/>
  <c r="G51" i="1"/>
  <c r="F51"/>
  <c r="L25" i="14"/>
  <c r="G35" i="6"/>
  <c r="H22" i="2"/>
  <c r="H24"/>
  <c r="G36" i="1"/>
  <c r="H23" i="2"/>
  <c r="G15" i="1"/>
  <c r="F15"/>
  <c r="F56"/>
  <c r="D22" i="11"/>
  <c r="F20" i="14"/>
  <c r="D18" i="11"/>
  <c r="I14"/>
  <c r="G39" i="1"/>
  <c r="L21" i="14"/>
  <c r="H34" i="7"/>
  <c r="H58" i="4"/>
  <c r="F20" i="1"/>
  <c r="G20"/>
  <c r="E17"/>
  <c r="H13" i="6"/>
  <c r="I10" i="12"/>
  <c r="G34" i="1"/>
  <c r="F34"/>
  <c r="F6" i="14"/>
  <c r="F28"/>
  <c r="A13" i="6"/>
  <c r="D9" i="11"/>
  <c r="E26" i="1"/>
  <c r="A58" i="4"/>
  <c r="A26"/>
  <c r="A36"/>
  <c r="G47" i="1"/>
  <c r="G41"/>
  <c r="F30" i="14"/>
  <c r="F8"/>
  <c r="F41" i="1"/>
  <c r="F26" i="14"/>
  <c r="H35" i="6"/>
  <c r="L23" i="14"/>
  <c r="F39" i="1"/>
  <c r="F47"/>
  <c r="D20" i="11"/>
  <c r="F17" i="14"/>
  <c r="D75" i="11"/>
  <c r="I58" i="4"/>
  <c r="J58"/>
  <c r="D38" i="11"/>
  <c r="D39"/>
  <c r="F13" i="1"/>
  <c r="D47" i="11"/>
  <c r="D11"/>
  <c r="D12"/>
  <c r="F29" i="14"/>
  <c r="F36" i="1"/>
  <c r="D31" i="11"/>
  <c r="F5" i="14"/>
  <c r="D56" i="11"/>
  <c r="D57"/>
  <c r="F21" i="1"/>
  <c r="G21"/>
  <c r="G19"/>
  <c r="D50" i="11"/>
  <c r="F12" i="1"/>
  <c r="G12"/>
  <c r="I36" i="4"/>
  <c r="J36"/>
  <c r="G13" i="1"/>
  <c r="G29"/>
  <c r="F18" i="14"/>
  <c r="F29" i="1"/>
  <c r="F19"/>
  <c r="G9"/>
  <c r="G42"/>
  <c r="F24" i="14"/>
  <c r="F9" i="1"/>
  <c r="F42"/>
  <c r="G28"/>
  <c r="F28"/>
  <c r="F10"/>
  <c r="G10"/>
  <c r="F11"/>
  <c r="D23" i="6"/>
  <c r="E23"/>
  <c r="G11" i="1"/>
  <c r="D44" i="6"/>
  <c r="E44"/>
  <c r="G17" i="1"/>
  <c r="F23" i="6"/>
  <c r="F44"/>
  <c r="G44"/>
  <c r="G53" i="1"/>
  <c r="F53"/>
  <c r="H44" i="6"/>
  <c r="F17" i="1"/>
  <c r="F18"/>
  <c r="G18"/>
  <c r="G23"/>
  <c r="G23" i="6"/>
  <c r="H23"/>
  <c r="F23" i="1"/>
  <c r="F24"/>
  <c r="G24"/>
  <c r="F25"/>
  <c r="D23" i="7"/>
  <c r="E23"/>
  <c r="G25" i="1"/>
  <c r="D43" i="7"/>
  <c r="E43"/>
  <c r="G26" i="1"/>
  <c r="F23" i="7"/>
  <c r="F43"/>
  <c r="G43"/>
  <c r="G54" i="1"/>
  <c r="H43" i="7"/>
  <c r="F54" i="1"/>
  <c r="G23" i="7"/>
  <c r="H23"/>
  <c r="F26" i="1"/>
  <c r="F27"/>
  <c r="G27"/>
  <c r="G50"/>
  <c r="G57"/>
  <c r="F50"/>
  <c r="F57"/>
  <c r="G59"/>
  <c r="L31" i="14"/>
  <c r="F16"/>
  <c r="G60" i="1"/>
  <c r="F59"/>
  <c r="F35" i="14"/>
  <c r="F36"/>
</calcChain>
</file>

<file path=xl/comments1.xml><?xml version="1.0" encoding="utf-8"?>
<comments xmlns="http://schemas.openxmlformats.org/spreadsheetml/2006/main">
  <authors>
    <author>Bill_Gates</author>
  </authors>
  <commentList>
    <comment ref="E9" authorId="0">
      <text>
        <r>
          <rPr>
            <b/>
            <sz val="8"/>
            <color indexed="81"/>
            <rFont val="Tahoma"/>
            <family val="2"/>
          </rPr>
          <t xml:space="preserve">Prognozowana wielkość produkcji
w pierwszej fazie
(produkcja obudów)
</t>
        </r>
        <r>
          <rPr>
            <b/>
            <sz val="8"/>
            <color indexed="10"/>
            <rFont val="Tahoma"/>
            <family val="2"/>
          </rPr>
          <t>LICZBA</t>
        </r>
      </text>
    </comment>
    <comment ref="F9" authorId="0">
      <text>
        <r>
          <rPr>
            <b/>
            <sz val="8"/>
            <color indexed="81"/>
            <rFont val="Tahoma"/>
            <charset val="238"/>
          </rPr>
          <t xml:space="preserve">Koszty produkcji jednej obudowy (pełnowartościowej lub niepełnowartościowej) 
</t>
        </r>
        <r>
          <rPr>
            <b/>
            <sz val="8"/>
            <color indexed="10"/>
            <rFont val="Tahoma"/>
            <family val="2"/>
          </rPr>
          <t>FORMUŁA (iloraz)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9" authorId="0">
      <text>
        <r>
          <rPr>
            <b/>
            <sz val="8"/>
            <color indexed="81"/>
            <rFont val="Tahoma"/>
            <family val="2"/>
          </rPr>
          <t xml:space="preserve">Koszty produkcji wszystkich obudów razem (pełnowartościowych i niepełnowartościowych)    
</t>
        </r>
        <r>
          <rPr>
            <b/>
            <sz val="8"/>
            <color indexed="10"/>
            <rFont val="Tahoma"/>
            <family val="2"/>
          </rPr>
          <t>FORMUŁA (suma 5 składników)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10" authorId="0">
      <text>
        <r>
          <rPr>
            <b/>
            <sz val="8"/>
            <color indexed="81"/>
            <rFont val="Tahoma"/>
            <charset val="238"/>
          </rPr>
          <t xml:space="preserve">Prognozowana wielkość produkcji pełnowartościowej w pierwszej fazie 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(obudowy). Podstawa prognozy: obserwacja własnego systemu produkcji.
</t>
        </r>
        <r>
          <rPr>
            <b/>
            <sz val="8"/>
            <color indexed="10"/>
            <rFont val="Tahoma"/>
            <family val="2"/>
          </rPr>
          <t>LICZBA</t>
        </r>
      </text>
    </comment>
    <comment ref="F10" authorId="0">
      <text>
        <r>
          <rPr>
            <b/>
            <sz val="8"/>
            <color indexed="81"/>
            <rFont val="Tahoma"/>
            <charset val="238"/>
          </rPr>
          <t xml:space="preserve">Koszty produkcji jednej obudowy pełnowartościowej  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0" authorId="0">
      <text>
        <r>
          <rPr>
            <b/>
            <sz val="8"/>
            <color indexed="81"/>
            <rFont val="Tahoma"/>
            <charset val="238"/>
          </rPr>
          <t xml:space="preserve">Koszty produkcji wszystkich obudów pełnowartościowych 
</t>
        </r>
        <r>
          <rPr>
            <b/>
            <sz val="8"/>
            <color indexed="10"/>
            <rFont val="Tahoma"/>
            <family val="2"/>
          </rPr>
          <t>FORMUŁA (iloczyn 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E11" authorId="0">
      <text>
        <r>
          <rPr>
            <b/>
            <sz val="8"/>
            <color indexed="81"/>
            <rFont val="Tahoma"/>
            <charset val="238"/>
          </rPr>
          <t>Prognozowana wielkość produkcji braków w pierwszej fazie (obudowy)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FORMUŁA (na podstawie wierszy 1 oraz 1A)
</t>
        </r>
      </text>
    </comment>
    <comment ref="F11" authorId="0">
      <text>
        <r>
          <rPr>
            <b/>
            <sz val="8"/>
            <color indexed="81"/>
            <rFont val="Tahoma"/>
            <family val="2"/>
          </rPr>
          <t xml:space="preserve">Koszty produkcji jednej obudowy niepełnowartościowej  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1" authorId="0">
      <text>
        <r>
          <rPr>
            <b/>
            <sz val="8"/>
            <color indexed="81"/>
            <rFont val="Tahoma"/>
            <charset val="238"/>
          </rPr>
          <t xml:space="preserve">Koszty produkcji wszystkich obudów niepełnowartościowych 
</t>
        </r>
        <r>
          <rPr>
            <b/>
            <sz val="8"/>
            <color indexed="10"/>
            <rFont val="Tahoma"/>
            <family val="2"/>
          </rPr>
          <t>FORMUŁA (różnica 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charset val="238"/>
          </rPr>
          <t xml:space="preserve">Wartość granulatu zużytego do produkcji jednej obudowy, mierzona ceną ewidencyjną.  
</t>
        </r>
        <r>
          <rPr>
            <b/>
            <sz val="8"/>
            <color indexed="10"/>
            <rFont val="Tahoma"/>
            <family val="2"/>
          </rPr>
          <t>FORMUŁA (wartość pobrana z arkusza ewidencji magazynowej granulatu)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2" authorId="0">
      <text>
        <r>
          <rPr>
            <b/>
            <sz val="8"/>
            <color indexed="81"/>
            <rFont val="Tahoma"/>
            <family val="2"/>
          </rPr>
          <t xml:space="preserve">Wartość granulatu zużytego do produkcji wszystkich obudów, mierzona ceną ewidencyjną. 
</t>
        </r>
        <r>
          <rPr>
            <b/>
            <sz val="8"/>
            <color indexed="10"/>
            <rFont val="Tahoma"/>
            <family val="2"/>
          </rPr>
          <t>FORMUŁA (iloczyn lub wartość pobrana z ewidencji magazynowej)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charset val="238"/>
          </rPr>
          <t xml:space="preserve">Ta część miesięcznych kosztów wynagrodzeń operatorów maszyn, wyrażona w [PLN], która rozliczana jest na 1 obudowę (zwiększa wartość jednej obudowy).
 </t>
        </r>
        <r>
          <rPr>
            <b/>
            <sz val="8"/>
            <color indexed="10"/>
            <rFont val="Tahoma"/>
            <family val="2"/>
          </rPr>
          <t>FORMUŁA (wartość pobrana z  arkusza  PERSONEL_MASZ)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3" authorId="0">
      <text>
        <r>
          <rPr>
            <b/>
            <sz val="8"/>
            <color indexed="81"/>
            <rFont val="Tahoma"/>
            <charset val="238"/>
          </rPr>
          <t xml:space="preserve">Ta część miesięcznych kosztów wynagrodzeń operatorów maszyn, wyrażona w [PLN], która rozliczana jest na 
  wszystkie wyprodukowane   obudowy (zwiększa ona wartość obudów).  
</t>
        </r>
        <r>
          <rPr>
            <b/>
            <sz val="8"/>
            <color indexed="10"/>
            <rFont val="Tahoma"/>
            <family val="2"/>
          </rPr>
          <t>FORMUŁA (iloczyn)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4" authorId="0">
      <text>
        <r>
          <rPr>
            <b/>
            <sz val="8"/>
            <color indexed="81"/>
            <rFont val="Tahoma"/>
            <charset val="238"/>
          </rPr>
          <t xml:space="preserve">Amortyzacja maszyn, rozliczona na 1 wyprodukowaną obudowę.
</t>
        </r>
        <r>
          <rPr>
            <b/>
            <sz val="8"/>
            <color indexed="10"/>
            <rFont val="Tahoma"/>
            <family val="2"/>
          </rPr>
          <t>FORMUŁA (na podstawie danych z arkusza PERSONEL_MASZ)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4" authorId="0">
      <text>
        <r>
          <rPr>
            <b/>
            <sz val="8"/>
            <color indexed="81"/>
            <rFont val="Tahoma"/>
            <charset val="238"/>
          </rPr>
          <t xml:space="preserve">Kwota miesięcznej amortyzacji wszystkich maszyn produkcyjnych (wtryskarek)
</t>
        </r>
        <r>
          <rPr>
            <b/>
            <sz val="8"/>
            <color indexed="10"/>
            <rFont val="Tahoma"/>
            <family val="2"/>
          </rPr>
          <t>FORMUŁA (iloczyn)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5" authorId="0">
      <text>
        <r>
          <rPr>
            <b/>
            <sz val="8"/>
            <color indexed="81"/>
            <rFont val="Tahoma"/>
            <family val="2"/>
          </rPr>
          <t>Kwota amortyzacji filtrów, rozliczona na jedną wyprodukowaną obudowę.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15" authorId="0">
      <text>
        <r>
          <rPr>
            <b/>
            <sz val="8"/>
            <color indexed="81"/>
            <rFont val="Tahoma"/>
            <charset val="238"/>
          </rPr>
          <t xml:space="preserve">Kwota miesięcznej amortyzacji wszystkich filtrów 
</t>
        </r>
        <r>
          <rPr>
            <b/>
            <sz val="8"/>
            <color indexed="10"/>
            <rFont val="Tahoma"/>
            <family val="2"/>
          </rPr>
          <t>FORMUŁA (na podstawie danych z arkusza  ŚROD_NAT)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charset val="238"/>
          </rPr>
          <t>Inne koszty ponoszone w pierwszej fazie produkcji (poza wyżej wymienionymi), przypadające na jedną obudowę.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G16" authorId="0">
      <text>
        <r>
          <rPr>
            <b/>
            <sz val="8"/>
            <color indexed="81"/>
            <rFont val="Tahoma"/>
            <family val="2"/>
          </rPr>
          <t xml:space="preserve">Łączna kwota innych kosztów (poza wyżej wymienionymi), ponoszonych w pierwszej fazie produkcji.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E17" authorId="0">
      <text>
        <r>
          <rPr>
            <b/>
            <sz val="8"/>
            <color indexed="10"/>
            <rFont val="Tahoma"/>
            <family val="2"/>
          </rPr>
          <t>FORMUŁA 
(wartość z arkusza PÓŁFA_EWID)</t>
        </r>
      </text>
    </comment>
    <comment ref="F17" authorId="0">
      <text>
        <r>
          <rPr>
            <b/>
            <sz val="8"/>
            <color indexed="81"/>
            <rFont val="Tahoma"/>
            <charset val="238"/>
          </rPr>
          <t xml:space="preserve">Jednostkowa cena ewidencyjna półfabrykatów pełnowartościowych po dostawie z produkcji .
 </t>
        </r>
        <r>
          <rPr>
            <b/>
            <sz val="8"/>
            <color indexed="10"/>
            <rFont val="Tahoma"/>
            <family val="2"/>
          </rPr>
          <t>FORMUŁA (wartość z arkusza PÓŁFA_EWID)</t>
        </r>
      </text>
    </comment>
    <comment ref="G17" authorId="0">
      <text>
        <r>
          <rPr>
            <b/>
            <sz val="8"/>
            <color indexed="81"/>
            <rFont val="Tahoma"/>
            <family val="2"/>
          </rPr>
          <t xml:space="preserve">Wartość zapasu półfabrykatów pełnowartościowych po dostawie z produkcji, mierzona ceną ewidencyjną. 
</t>
        </r>
        <r>
          <rPr>
            <b/>
            <sz val="8"/>
            <color indexed="10"/>
            <rFont val="Tahoma"/>
            <family val="2"/>
          </rPr>
          <t xml:space="preserve">FORMUŁA (wartość z arkusza PÓŁFA_EWID)
</t>
        </r>
      </text>
    </comment>
    <comment ref="E18" authorId="0">
      <text>
        <r>
          <rPr>
            <b/>
            <sz val="8"/>
            <color indexed="81"/>
            <rFont val="Tahoma"/>
            <charset val="238"/>
          </rPr>
          <t>Prognozowana wielkość produkcji
w drugiej fazie
(montaż wyrobów)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>LICZBA</t>
        </r>
      </text>
    </comment>
    <comment ref="F18" authorId="0">
      <text>
        <r>
          <rPr>
            <b/>
            <sz val="8"/>
            <color indexed="81"/>
            <rFont val="Tahoma"/>
            <charset val="238"/>
          </rPr>
          <t>Jednostkowa cena ewidencyjna półfabrykatów pełnowartościowych przekazanych z magazynu do drugiej fazy produkcji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</text>
    </comment>
    <comment ref="G18" authorId="0">
      <text>
        <r>
          <rPr>
            <b/>
            <sz val="8"/>
            <color indexed="81"/>
            <rFont val="Tahoma"/>
            <charset val="238"/>
          </rPr>
          <t>Wartość wszystkich półfabrykatów pełnowartościowych przekazanych z magazynu do drugiej fazy produkcji, wyrażona w cenach ewidencyjnych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F19" authorId="0">
      <text>
        <r>
          <rPr>
            <b/>
            <sz val="8"/>
            <color indexed="81"/>
            <rFont val="Tahoma"/>
            <charset val="238"/>
          </rPr>
          <t xml:space="preserve">Koszty poniesione w 2 fazie produkcji (montaż), odniesione do  jednej sztuki wyrobu gotowego (pełnowartościowego lub niepełnowartościowego) 
</t>
        </r>
        <r>
          <rPr>
            <b/>
            <sz val="8"/>
            <color indexed="10"/>
            <rFont val="Tahoma"/>
            <family val="2"/>
          </rPr>
          <t>FORMUŁA (iloraz)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9" authorId="0">
      <text>
        <r>
          <rPr>
            <b/>
            <sz val="8"/>
            <color indexed="81"/>
            <rFont val="Tahoma"/>
            <family val="2"/>
          </rPr>
          <t xml:space="preserve">Koszty produkcji wszystkich wyrobów (pełnowartościowych i niepełnowartościowych) w drugiej fazie (montaż)
</t>
        </r>
        <r>
          <rPr>
            <b/>
            <sz val="8"/>
            <color indexed="10"/>
            <rFont val="Tahoma"/>
            <family val="2"/>
          </rPr>
          <t>FORMUŁA (suma)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</rPr>
          <t xml:space="preserve">Wartość elektroniki zużytej do produkcji jednego wyrobu, mierzona ceną ewidencyjną.  
</t>
        </r>
        <r>
          <rPr>
            <b/>
            <sz val="8"/>
            <color indexed="10"/>
            <rFont val="Tahoma"/>
            <family val="2"/>
          </rPr>
          <t>FORMUŁA (wartość pobrana z arkusza ewidencji magazynowej  elektroniki)</t>
        </r>
      </text>
    </comment>
    <comment ref="G20" authorId="0">
      <text>
        <r>
          <rPr>
            <b/>
            <sz val="8"/>
            <color indexed="81"/>
            <rFont val="Tahoma"/>
            <family val="2"/>
          </rPr>
          <t xml:space="preserve">Wartość elektroniki zużytej do produkcji wszystkich wyrobów, mierzona ceną ewidencyjną. 
</t>
        </r>
        <r>
          <rPr>
            <b/>
            <sz val="8"/>
            <color indexed="10"/>
            <rFont val="Tahoma"/>
            <family val="2"/>
          </rPr>
          <t>FORMUŁA (iloczyn lub wartość pobrana z ewidencji magazynowej)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8"/>
            <color indexed="81"/>
            <rFont val="Tahoma"/>
            <family val="2"/>
          </rPr>
          <t xml:space="preserve">Ta część miesięcznych kosztów wynagrodzeń montażystów, wyrażona w [PLN], która rozliczana jest na 1 wyrób (zwiększa wartość tego wyrobu).
 </t>
        </r>
        <r>
          <rPr>
            <b/>
            <sz val="8"/>
            <color indexed="10"/>
            <rFont val="Tahoma"/>
            <family val="2"/>
          </rPr>
          <t xml:space="preserve"> FORMUŁA 
(wartość pobrana z  arkusza  PERSONEL_MASZ)</t>
        </r>
      </text>
    </comment>
    <comment ref="G21" authorId="0">
      <text>
        <r>
          <rPr>
            <b/>
            <sz val="8"/>
            <color indexed="81"/>
            <rFont val="Tahoma"/>
            <family val="2"/>
          </rPr>
          <t xml:space="preserve">Ta część miesięcznych kosztów wynagrodzeń montażystów, wyrażona w [PLN], która rozliczana jest na wszystkie wyprodukowane   wyroby (zwiększa ona wartość wyrobów).  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F22" authorId="0">
      <text>
        <r>
          <rPr>
            <sz val="8"/>
            <color indexed="81"/>
            <rFont val="Tahoma"/>
            <family val="2"/>
          </rPr>
          <t>I</t>
        </r>
        <r>
          <rPr>
            <b/>
            <sz val="8"/>
            <color indexed="81"/>
            <rFont val="Tahoma"/>
            <family val="2"/>
          </rPr>
          <t xml:space="preserve">nne koszty ponoszone w drugiej fazie produkcji (poza wyżej wym.), przypadające na jedną sztukę wyrobu.
</t>
        </r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 xml:space="preserve">Łączna kwota innych kosztów (poza wyżej wymienionymi), ponoszonych w drugiej fazie produkcji.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E23" authorId="0">
      <text>
        <r>
          <rPr>
            <b/>
            <sz val="8"/>
            <color indexed="81"/>
            <rFont val="Tahoma"/>
            <family val="2"/>
          </rPr>
          <t xml:space="preserve">Prognozowana wielkość produkcji
w drugiej fazie
(montaż wyrobów).
</t>
        </r>
        <r>
          <rPr>
            <b/>
            <sz val="8"/>
            <color indexed="10"/>
            <rFont val="Tahoma"/>
            <family val="2"/>
          </rPr>
          <t>FORMUŁA (wartość pobrana z innej komórki)</t>
        </r>
      </text>
    </comment>
    <comment ref="F23" authorId="0">
      <text>
        <r>
          <rPr>
            <b/>
            <sz val="8"/>
            <color indexed="81"/>
            <rFont val="Tahoma"/>
            <family val="2"/>
          </rPr>
          <t xml:space="preserve">Koszty produkcji 1 sztuki wyrobu gotowego w danym miesiącu. Są one równe  wartości jednej obudowy przekazanej z magazynu do montażu powiększonej o jednostkowe koszty  montażu.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23" authorId="0">
      <text>
        <r>
          <rPr>
            <b/>
            <sz val="8"/>
            <color indexed="81"/>
            <rFont val="Tahoma"/>
            <family val="2"/>
          </rPr>
          <t xml:space="preserve">Koszty produkcji wszystkich wyrobów gotowych (pełnowartościowych i niepełnowartościowych) w danym miesiącu
</t>
        </r>
        <r>
          <rPr>
            <b/>
            <sz val="8"/>
            <color indexed="10"/>
            <rFont val="Tahoma"/>
            <family val="2"/>
          </rPr>
          <t>FORMUŁA (suma)</t>
        </r>
      </text>
    </comment>
    <comment ref="E24" authorId="0">
      <text>
        <r>
          <rPr>
            <b/>
            <sz val="8"/>
            <color indexed="81"/>
            <rFont val="Tahoma"/>
            <family val="2"/>
          </rPr>
          <t xml:space="preserve">Prognozowana wielkość produkcji pełnowartościowej w drugiej fazie 
(wyroby gotowe). Podstawa prognozy: obserwacja własnego systemu produkcji.
</t>
        </r>
        <r>
          <rPr>
            <b/>
            <sz val="8"/>
            <color indexed="10"/>
            <rFont val="Tahoma"/>
            <family val="2"/>
          </rPr>
          <t>LICZBA</t>
        </r>
      </text>
    </comment>
    <comment ref="F24" authorId="0">
      <text>
        <r>
          <rPr>
            <b/>
            <sz val="8"/>
            <color indexed="81"/>
            <rFont val="Tahoma"/>
            <family val="2"/>
          </rPr>
          <t xml:space="preserve">Koszty produkcji jednej sztuki wyrobu pełnowartościowego  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 xml:space="preserve">Koszty produkcji wszystkich wyrobów pełnowartościowych.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E25" authorId="0">
      <text>
        <r>
          <rPr>
            <b/>
            <sz val="8"/>
            <color indexed="81"/>
            <rFont val="Tahoma"/>
            <family val="2"/>
          </rPr>
          <t xml:space="preserve">Prognozowana wielkość produkcji braków w drugiej fazie (montaż).
</t>
        </r>
        <r>
          <rPr>
            <b/>
            <sz val="8"/>
            <color indexed="10"/>
            <rFont val="Tahoma"/>
            <family val="2"/>
          </rPr>
          <t>FORMUŁA (na podstawie wierszy 5 oraz 5A)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 xml:space="preserve">Koszty produkcji jednej sztuki wyrobu niepełnowartościowego  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</text>
    </comment>
    <comment ref="G25" authorId="0">
      <text>
        <r>
          <rPr>
            <b/>
            <sz val="8"/>
            <color indexed="81"/>
            <rFont val="Tahoma"/>
            <family val="2"/>
          </rPr>
          <t xml:space="preserve">Koszty produkcji wszystkich wyrobów gotowych niepełnowartościowych.
</t>
        </r>
        <r>
          <rPr>
            <b/>
            <sz val="8"/>
            <color indexed="10"/>
            <rFont val="Tahoma"/>
            <family val="2"/>
          </rPr>
          <t>FORMUŁA (różnica)</t>
        </r>
      </text>
    </comment>
    <comment ref="E26" authorId="0">
      <text>
        <r>
          <rPr>
            <b/>
            <sz val="8"/>
            <color indexed="10"/>
            <rFont val="Tahoma"/>
            <family val="2"/>
          </rPr>
          <t>FORMUŁA (wartość z arkusza WYR_EWID)</t>
        </r>
      </text>
    </comment>
    <comment ref="F26" authorId="0">
      <text>
        <r>
          <rPr>
            <b/>
            <sz val="8"/>
            <color indexed="81"/>
            <rFont val="Tahoma"/>
            <family val="2"/>
          </rPr>
          <t xml:space="preserve">Jednostkowa cena ewidencyjna wyrobów  pełnowartościowych po dostawie z produkcji. 
</t>
        </r>
        <r>
          <rPr>
            <b/>
            <sz val="8"/>
            <color indexed="10"/>
            <rFont val="Tahoma"/>
            <family val="2"/>
          </rPr>
          <t>FORMUŁA (wartość z arkusza WYR_EWID)</t>
        </r>
      </text>
    </comment>
    <comment ref="G26" authorId="0">
      <text>
        <r>
          <rPr>
            <b/>
            <sz val="8"/>
            <color indexed="81"/>
            <rFont val="Tahoma"/>
            <family val="2"/>
          </rPr>
          <t xml:space="preserve">Wartość zapasu wyrobów pełnowartościowych po dostawie z produkcji, mierzona ceną ewidencyjną. 
</t>
        </r>
        <r>
          <rPr>
            <b/>
            <sz val="8"/>
            <color indexed="10"/>
            <rFont val="Tahoma"/>
            <family val="2"/>
          </rPr>
          <t xml:space="preserve">FORMUŁA (wartość z arkusza WYR_EWID)
</t>
        </r>
      </text>
    </comment>
    <comment ref="E27" authorId="0">
      <text>
        <r>
          <rPr>
            <b/>
            <sz val="8"/>
            <color indexed="81"/>
            <rFont val="Tahoma"/>
            <family val="2"/>
          </rPr>
          <t xml:space="preserve">Prognozowana sprzedaż wyrobów pełnowartościowych.
</t>
        </r>
        <r>
          <rPr>
            <b/>
            <sz val="8"/>
            <color indexed="10"/>
            <rFont val="Tahoma"/>
            <family val="2"/>
          </rPr>
          <t>LICZBA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 xml:space="preserve">Jednostkowa cena ewidencyjna wyrobów pełnowartościowych przekazanych z magazynu do sprzedaży
</t>
        </r>
        <r>
          <rPr>
            <b/>
            <sz val="8"/>
            <color indexed="10"/>
            <rFont val="Tahoma"/>
            <family val="2"/>
          </rPr>
          <t>FORMUŁA (wartość pobrana z innej komórki lub zero)</t>
        </r>
      </text>
    </comment>
    <comment ref="G27" authorId="0">
      <text>
        <r>
          <rPr>
            <b/>
            <sz val="8"/>
            <color indexed="81"/>
            <rFont val="Tahoma"/>
            <family val="2"/>
          </rPr>
          <t xml:space="preserve">Wartość wszystkich wyrobów pełnowartościowych przekazanych z magazynu do sprzedaży, wyrażona w cenach ewidencyjnych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F28" authorId="0">
      <text>
        <r>
          <rPr>
            <b/>
            <sz val="8"/>
            <color indexed="81"/>
            <rFont val="Tahoma"/>
            <family val="2"/>
          </rPr>
          <t xml:space="preserve">Koszty wydziałowe i ogólne, przypadające na sztukę sprzedanego  wyrobu pełnowartościowego
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28" authorId="0">
      <text>
        <r>
          <rPr>
            <b/>
            <sz val="8"/>
            <color indexed="81"/>
            <rFont val="Tahoma"/>
            <family val="2"/>
          </rPr>
          <t xml:space="preserve">Łączna wartość wszystkich kosztów wydziałowych i ogólnych, poniesionych w danym miesiącu (koszty te obciążają bezpośrednio wynik finansowy tego miesiąca).
</t>
        </r>
        <r>
          <rPr>
            <b/>
            <sz val="8"/>
            <color indexed="10"/>
            <rFont val="Tahoma"/>
            <family val="2"/>
          </rPr>
          <t>FORMUŁA (suma)</t>
        </r>
      </text>
    </comment>
    <comment ref="F29" authorId="0">
      <text>
        <r>
          <rPr>
            <b/>
            <sz val="8"/>
            <color indexed="81"/>
            <rFont val="Tahoma"/>
            <family val="2"/>
          </rPr>
          <t xml:space="preserve">Koszty serwisu maszyn, przypadające na sztukę sprzedanego  wyrobu pełnowartościowego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29" authorId="0">
      <text>
        <r>
          <rPr>
            <b/>
            <sz val="8"/>
            <color indexed="81"/>
            <rFont val="Tahoma"/>
            <family val="2"/>
          </rPr>
          <t xml:space="preserve">Koszty serwisu maszyn (bez napraw), poniesione w danym miesiącu.
</t>
        </r>
        <r>
          <rPr>
            <b/>
            <sz val="8"/>
            <color indexed="10"/>
            <rFont val="Tahoma"/>
            <family val="2"/>
          </rPr>
          <t>FORMUŁA (na podstawie danych z arkusza PERSONEL_MASZ)</t>
        </r>
      </text>
    </comment>
    <comment ref="G30" authorId="0">
      <text>
        <r>
          <rPr>
            <b/>
            <sz val="8"/>
            <color indexed="81"/>
            <rFont val="Tahoma"/>
            <family val="2"/>
          </rPr>
          <t xml:space="preserve">Koszty napraw wszystkich maszyn w danym miesiącu.
</t>
        </r>
        <r>
          <rPr>
            <b/>
            <sz val="8"/>
            <color indexed="10"/>
            <rFont val="Tahoma"/>
            <family val="2"/>
          </rPr>
          <t>LICZBA (prognoza)</t>
        </r>
      </text>
    </comment>
    <comment ref="G31" authorId="0">
      <text>
        <r>
          <rPr>
            <b/>
            <sz val="8"/>
            <color indexed="81"/>
            <rFont val="Tahoma"/>
            <family val="2"/>
          </rPr>
          <t xml:space="preserve">Koszt naboru i selekcji nowych pracowników, podejmujących pracę w bieżącym miesiącu.
</t>
        </r>
        <r>
          <rPr>
            <b/>
            <sz val="8"/>
            <color indexed="10"/>
            <rFont val="Tahoma"/>
            <family val="2"/>
          </rPr>
          <t>FORMUŁA (prognoza na podstawie danych z arkusza PERSONEL_MASZ)</t>
        </r>
      </text>
    </comment>
    <comment ref="G32" authorId="0">
      <text>
        <r>
          <rPr>
            <b/>
            <sz val="8"/>
            <color indexed="81"/>
            <rFont val="Tahoma"/>
            <family val="2"/>
          </rPr>
          <t xml:space="preserve">Koszt zwolnienia personelu odchodzącego w bieżącym miesiącu z inicjatywy SPÓŁKI (odprawy).
</t>
        </r>
        <r>
          <rPr>
            <b/>
            <sz val="8"/>
            <color indexed="10"/>
            <rFont val="Tahoma"/>
            <family val="2"/>
          </rPr>
          <t>FORMUŁA (na podstawie danych z arkusza PERSONEL_MASZ)</t>
        </r>
      </text>
    </comment>
    <comment ref="G33" authorId="0">
      <text>
        <r>
          <rPr>
            <b/>
            <sz val="8"/>
            <color indexed="81"/>
            <rFont val="Tahoma"/>
            <family val="2"/>
          </rPr>
          <t xml:space="preserve">Koszt szkolenia wszystkich montażystów w bieżącym miesiącu.
</t>
        </r>
        <r>
          <rPr>
            <b/>
            <sz val="8"/>
            <color indexed="10"/>
            <rFont val="Tahoma"/>
            <family val="2"/>
          </rPr>
          <t>FORMUŁA (wartość pobrana z arkusza PERSONEL_MASZ)</t>
        </r>
      </text>
    </comment>
    <comment ref="G34" authorId="0">
      <text>
        <r>
          <rPr>
            <b/>
            <sz val="8"/>
            <color indexed="8"/>
            <rFont val="Tahoma"/>
            <family val="2"/>
            <charset val="238"/>
          </rPr>
          <t>Koszt zakupu tych obiektów i urządzeń dodatkowych o numerach 1, 2 oraz 3, które w bieżącym miesiącu zostaną dostarczone do SPÓŁKI i przyjęte przez nią</t>
        </r>
        <r>
          <rPr>
            <b/>
            <sz val="8"/>
            <color indexed="10"/>
            <rFont val="Tahoma"/>
            <family val="2"/>
          </rPr>
          <t xml:space="preserve">
FORMUŁA
(wartość pobrana z arkusza URZ_DOD).
UWAGA: urządzenia dodatkowe 1, 2 oraz 3 nie są środkami trwałymi. </t>
        </r>
      </text>
    </comment>
    <comment ref="G35" authorId="0">
      <text>
        <r>
          <rPr>
            <b/>
            <sz val="8"/>
            <color indexed="10"/>
            <rFont val="Tahoma"/>
            <family val="2"/>
          </rPr>
          <t>FORMUŁA
(wartość pobrana z arkusza URZ_DOD).</t>
        </r>
      </text>
    </comment>
    <comment ref="G36" authorId="0">
      <text>
        <r>
          <rPr>
            <b/>
            <sz val="8"/>
            <color indexed="10"/>
            <rFont val="Tahoma"/>
            <family val="2"/>
          </rPr>
          <t>FORMUŁA
(na podstawie danych z arkusza ŚROD_NAT)</t>
        </r>
      </text>
    </comment>
    <comment ref="G37" authorId="0">
      <text>
        <r>
          <rPr>
            <b/>
            <sz val="8"/>
            <color indexed="10"/>
            <rFont val="Tahoma"/>
            <family val="2"/>
          </rPr>
          <t>LICZBA
(decyzja SPÓŁKI z bieżącego miesiąca)</t>
        </r>
      </text>
    </comment>
    <comment ref="G38" authorId="0">
      <text>
        <r>
          <rPr>
            <b/>
            <sz val="8"/>
            <color indexed="81"/>
            <rFont val="Tahoma"/>
            <family val="2"/>
          </rPr>
          <t xml:space="preserve">Suma cen zakupu wszystkich tych raportów, które SPÓŁKA zakupiła w bieżącym miesiącu.
</t>
        </r>
        <r>
          <rPr>
            <b/>
            <sz val="8"/>
            <color indexed="10"/>
            <rFont val="Tahoma"/>
            <family val="2"/>
          </rPr>
          <t>LICZBA 
(skutek decyzji SPÓŁKI z bieżącego miesiąca)</t>
        </r>
      </text>
    </comment>
    <comment ref="G39" authorId="0">
      <text>
        <r>
          <rPr>
            <b/>
            <sz val="8"/>
            <color indexed="81"/>
            <rFont val="Tahoma"/>
            <family val="2"/>
          </rPr>
          <t>Koszt przezbrojenia wszystkich maszyn będących na stanie SPÓŁKI, wynikający z wprowadzenia do produkcji nowego modelu obudowy.</t>
        </r>
        <r>
          <rPr>
            <b/>
            <sz val="8"/>
            <color indexed="10"/>
            <rFont val="Tahoma"/>
            <family val="2"/>
          </rPr>
          <t xml:space="preserve">
FORMUŁA
(na podstawie danych z arkusza PERSONEL_MASZ)</t>
        </r>
      </text>
    </comment>
    <comment ref="G40" authorId="0">
      <text>
        <r>
          <rPr>
            <b/>
            <sz val="8"/>
            <color indexed="81"/>
            <rFont val="Tahoma"/>
            <family val="2"/>
          </rPr>
          <t xml:space="preserve">Miesięczny koszt dzierżawy obcych modułów magazynowych: elektroniki oraz wyrobów gotowych razem.
</t>
        </r>
        <r>
          <rPr>
            <b/>
            <sz val="8"/>
            <color indexed="10"/>
            <rFont val="Tahoma"/>
            <family val="2"/>
          </rPr>
          <t>FORMUŁA
(na podstawie danych z arkusza MAGA_OBCE)</t>
        </r>
      </text>
    </comment>
    <comment ref="G41" authorId="0">
      <text>
        <r>
          <rPr>
            <b/>
            <sz val="8"/>
            <color indexed="81"/>
            <rFont val="Tahoma"/>
            <family val="2"/>
          </rPr>
          <t xml:space="preserve">Miesięczna kwota amortyzacji
</t>
        </r>
        <r>
          <rPr>
            <b/>
            <sz val="8"/>
            <color indexed="10"/>
            <rFont val="Tahoma"/>
            <family val="2"/>
          </rPr>
          <t>FORMUŁA
(na podstawie danych z arkusza URZ_DOD)</t>
        </r>
      </text>
    </comment>
    <comment ref="G42" authorId="0">
      <text>
        <r>
          <rPr>
            <b/>
            <sz val="8"/>
            <color indexed="81"/>
            <rFont val="Tahoma"/>
            <family val="2"/>
          </rPr>
          <t xml:space="preserve">Jest to ta część miesięcznych kosztów wynagrodzeń operatorów maszyn oraz montażystów, wyrażona w [PLN], która nie została rozliczona na produkty (obudowy i wyroby gotowe). Obciąża ona bezpośrednio wynik finansowy danego miesiąca.
 </t>
        </r>
        <r>
          <rPr>
            <b/>
            <sz val="8"/>
            <color indexed="10"/>
            <rFont val="Tahoma"/>
            <family val="2"/>
          </rPr>
          <t xml:space="preserve">FORMUŁA
(na podstawie danych z wierszy 1.2 i 4.2 oraz danych z arkusza PERSONEL_MASZ). </t>
        </r>
      </text>
    </comment>
    <comment ref="G43" authorId="0">
      <text>
        <r>
          <rPr>
            <b/>
            <sz val="8"/>
            <color indexed="81"/>
            <rFont val="Tahoma"/>
            <family val="2"/>
          </rPr>
          <t xml:space="preserve">Suma miesięcznych kar umownych za zwrot dostaw (maszyny, urządzenia dodatkowe oraz filtry)
</t>
        </r>
        <r>
          <rPr>
            <b/>
            <sz val="8"/>
            <color indexed="10"/>
            <rFont val="Tahoma"/>
            <family val="2"/>
          </rPr>
          <t>FORMUŁA
(na podstawie danych z arkuszy: PERSONEL_MASZ, URZ_DOD oraz ŚROD_NAT)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O ile prowadzący nie poda innej wartości, należy przyjąć wartość zero.</t>
        </r>
        <r>
          <rPr>
            <b/>
            <sz val="8"/>
            <color indexed="10"/>
            <rFont val="Tahoma"/>
            <family val="2"/>
          </rPr>
          <t xml:space="preserve">
LICZBA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 xml:space="preserve">Łączna kwota tych wszystkich kosztów, które SPÓŁKA ponosi w danym miesiącu, a które nie zostały ujęte w innych pozycjach tego arkusza. W kwocie tej nie występuje amortyzacja.
</t>
        </r>
        <r>
          <rPr>
            <b/>
            <sz val="8"/>
            <color indexed="10"/>
            <rFont val="Tahoma"/>
            <family val="2"/>
          </rPr>
          <t>LICZBA
(wartość zadana)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O ile prowadzący nie poda innej wartości, należy przyjąć wartość zero.</t>
        </r>
        <r>
          <rPr>
            <b/>
            <sz val="8"/>
            <color indexed="10"/>
            <rFont val="Tahoma"/>
            <family val="2"/>
          </rPr>
          <t xml:space="preserve">
LICZBA
</t>
        </r>
      </text>
    </comment>
    <comment ref="F47" authorId="0">
      <text>
        <r>
          <rPr>
            <b/>
            <sz val="8"/>
            <color indexed="10"/>
            <rFont val="Tahoma"/>
            <family val="2"/>
          </rPr>
          <t>FORMUŁA
(iloraz)</t>
        </r>
      </text>
    </comment>
    <comment ref="G47" authorId="0">
      <text>
        <r>
          <rPr>
            <b/>
            <sz val="8"/>
            <color indexed="81"/>
            <rFont val="Tahoma"/>
            <family val="2"/>
          </rPr>
          <t xml:space="preserve">Łączne koszty sprzedaży wyrobów pełnowartościowych w danym miesiącu </t>
        </r>
        <r>
          <rPr>
            <b/>
            <sz val="8"/>
            <color indexed="10"/>
            <rFont val="Tahoma"/>
            <family val="2"/>
          </rPr>
          <t xml:space="preserve">
FORMUŁA
(suma)</t>
        </r>
      </text>
    </comment>
    <comment ref="F48" authorId="0">
      <text>
        <r>
          <rPr>
            <b/>
            <sz val="8"/>
            <color indexed="81"/>
            <rFont val="Tahoma"/>
            <charset val="238"/>
          </rPr>
          <t xml:space="preserve">Koszty reklamy, przypadające na sztukę pełnowartościowego wyrobu sprzedanego 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48" authorId="0">
      <text>
        <r>
          <rPr>
            <b/>
            <sz val="8"/>
            <color indexed="10"/>
            <rFont val="Tahoma"/>
            <family val="2"/>
          </rPr>
          <t>Liczba 
(decyzja SPÓŁKI z bieżącego miesiąca)</t>
        </r>
      </text>
    </comment>
    <comment ref="F49" authorId="0">
      <text>
        <r>
          <rPr>
            <b/>
            <sz val="8"/>
            <color indexed="81"/>
            <rFont val="Tahoma"/>
            <family val="2"/>
          </rPr>
          <t xml:space="preserve">Koszt transportu jednej szt. wyrobu do odbiorców
</t>
        </r>
        <r>
          <rPr>
            <b/>
            <sz val="8"/>
            <color indexed="10"/>
            <rFont val="Tahoma"/>
            <family val="2"/>
          </rPr>
          <t>LICZBA
(wartość zadana)</t>
        </r>
      </text>
    </comment>
    <comment ref="G49" authorId="0">
      <text>
        <r>
          <rPr>
            <b/>
            <sz val="8"/>
            <color indexed="81"/>
            <rFont val="Tahoma"/>
            <family val="2"/>
          </rPr>
          <t xml:space="preserve">Koszty transportu wszystkich sprzedanych wyrobów do odbiorców
</t>
        </r>
        <r>
          <rPr>
            <b/>
            <sz val="8"/>
            <color indexed="10"/>
            <rFont val="Tahoma"/>
            <family val="2"/>
          </rPr>
          <t>FORMUŁA</t>
        </r>
      </text>
    </comment>
    <comment ref="F50" authorId="0">
      <text>
        <r>
          <rPr>
            <b/>
            <sz val="8"/>
            <color indexed="81"/>
            <rFont val="Tahoma"/>
            <family val="2"/>
          </rPr>
          <t xml:space="preserve">Jednostkowy koszt własny sprzedanych wyrobów pełnowartościowych.
</t>
        </r>
        <r>
          <rPr>
            <b/>
            <sz val="8"/>
            <color indexed="10"/>
            <rFont val="Tahoma"/>
            <family val="2"/>
          </rPr>
          <t>FORMUŁA
(iloraz)</t>
        </r>
      </text>
    </comment>
    <comment ref="G50" authorId="0">
      <text>
        <r>
          <rPr>
            <b/>
            <sz val="8"/>
            <color indexed="81"/>
            <rFont val="Tahoma"/>
            <family val="2"/>
          </rPr>
          <t xml:space="preserve">Dla prognozy sprzedaży &gt; 0 pozycja ta zawiera łączną kwotę kosztu własnego sprzedanych wyrobów pełnowartościowych.
Dla prognozy sprzedaży = 0 - w pozycji tej jest łączna kwota wszystkich kosztów obciążających bezpośrednio wynik finansowy danego miesiąca. 
</t>
        </r>
        <r>
          <rPr>
            <b/>
            <sz val="8"/>
            <color indexed="10"/>
            <rFont val="Tahoma"/>
            <family val="2"/>
          </rPr>
          <t>FORMUŁA (suma odpowiednich pozycji)</t>
        </r>
      </text>
    </comment>
    <comment ref="F51" authorId="0">
      <text>
        <r>
          <rPr>
            <b/>
            <sz val="8"/>
            <color indexed="81"/>
            <rFont val="Tahoma"/>
            <family val="2"/>
          </rPr>
          <t xml:space="preserve">Odsetki od kredytów, przypadające na sztukę sprzedanego  wyrobu pełnowartościowego 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51" authorId="0">
      <text>
        <r>
          <rPr>
            <b/>
            <sz val="8"/>
            <color indexed="81"/>
            <rFont val="Tahoma"/>
            <family val="2"/>
          </rPr>
          <t xml:space="preserve">Suma odsetek od kredytów długo- oraz krótkoterminowych, (odsetki płacone w bieżącym miesiącu)
</t>
        </r>
        <r>
          <rPr>
            <b/>
            <sz val="8"/>
            <color indexed="10"/>
            <rFont val="Tahoma"/>
            <family val="2"/>
          </rPr>
          <t>FORMUŁA
(na podstawie wartości z arkusza KREDYTY)</t>
        </r>
      </text>
    </comment>
    <comment ref="G52" authorId="0">
      <text>
        <r>
          <rPr>
            <b/>
            <sz val="8"/>
            <color indexed="10"/>
            <rFont val="Tahoma"/>
            <family val="2"/>
          </rPr>
          <t>LICZBA
(wartość zadana)</t>
        </r>
      </text>
    </comment>
    <comment ref="F53" authorId="0">
      <text>
        <r>
          <rPr>
            <b/>
            <sz val="8"/>
            <color indexed="81"/>
            <rFont val="Tahoma"/>
            <family val="2"/>
          </rPr>
          <t xml:space="preserve">Wynik finansowy osiągnięty na sprzedaży wybrakowanych obudów, przypadający na sztukę sprzedanego  wyrobu pełnowartościowego 
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53" authorId="0">
      <text>
        <r>
          <rPr>
            <b/>
            <sz val="8"/>
            <color indexed="81"/>
            <rFont val="Tahoma"/>
            <family val="2"/>
          </rPr>
          <t xml:space="preserve">Wynik finansowy osiągnięty na sprzedaży wybrakowanych obudów. Jako koszty uzyskania przychodów ze sprzedaży jednej obudowy przyjęto  jednostkową cenę ewidencyjną sprzedawanej obudowy.
</t>
        </r>
        <r>
          <rPr>
            <b/>
            <sz val="8"/>
            <color indexed="10"/>
            <rFont val="Tahoma"/>
            <family val="2"/>
          </rPr>
          <t>FORMUŁA</t>
        </r>
        <r>
          <rPr>
            <b/>
            <sz val="8"/>
            <color indexed="81"/>
            <rFont val="Tahoma"/>
            <family val="2"/>
          </rPr>
          <t xml:space="preserve">  
</t>
        </r>
        <r>
          <rPr>
            <b/>
            <sz val="8"/>
            <color indexed="10"/>
            <rFont val="Tahoma"/>
            <family val="2"/>
          </rPr>
          <t>(na podstawie arkuszy: PÓŁFA_EWID, MATERIAŁY)</t>
        </r>
      </text>
    </comment>
    <comment ref="F54" authorId="0">
      <text>
        <r>
          <rPr>
            <b/>
            <sz val="8"/>
            <color indexed="81"/>
            <rFont val="Tahoma"/>
            <family val="2"/>
          </rPr>
          <t xml:space="preserve">Wynik finansowy osiągnięty na sprzedaży wybrakowanych wyrobów gotowych, przypadający na sztukę sprzedanego  wyrobu pełnowartościowego
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54" authorId="0">
      <text>
        <r>
          <rPr>
            <b/>
            <sz val="8"/>
            <color indexed="81"/>
            <rFont val="Tahoma"/>
            <charset val="238"/>
          </rPr>
          <t xml:space="preserve">Wynik finansowy osiągnięty na sprzedaży wybrakowanych wyrobów gotowych. Jako koszty uzyskania przychodów ze sprzedaży jednego wyrobu przyjęto  jednostkową cenę ewidencyjną sprzedawanego wyrobu.
</t>
        </r>
        <r>
          <rPr>
            <b/>
            <sz val="8"/>
            <color indexed="10"/>
            <rFont val="Tahoma"/>
            <family val="2"/>
          </rPr>
          <t>FORMUŁA (na podstawie arkuszy: WYR_EWID, MATERIAŁY)</t>
        </r>
      </text>
    </comment>
    <comment ref="F55" authorId="0">
      <text>
        <r>
          <rPr>
            <b/>
            <sz val="8"/>
            <color indexed="81"/>
            <rFont val="Tahoma"/>
            <family val="2"/>
          </rPr>
          <t xml:space="preserve">Wynik finansowy osiągnięty na sprzedaży zbędnych zapasów materiałowych, przypadający na sztukę sprzedanego  wyrobu pełnowartościowego
 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55" authorId="0">
      <text>
        <r>
          <rPr>
            <b/>
            <sz val="8"/>
            <color indexed="81"/>
            <rFont val="Tahoma"/>
            <charset val="238"/>
          </rPr>
          <t xml:space="preserve">Wynik finansowy osiągnięty na sprzedaży zbędnych zapasów granulatu oraz elektroniki.
Jako koszty uzyskania przychodów ze sprzedaży  1 kg granulatu lub 1 szt. elektroniki przyjęto jednostkowe ceny ewidencyjne tych materiałów.
</t>
        </r>
        <r>
          <rPr>
            <b/>
            <sz val="8"/>
            <color indexed="10"/>
            <rFont val="Tahoma"/>
            <family val="2"/>
          </rPr>
          <t>FORMUŁA  (na podstawie danych z arkusza MATERIAŁY)</t>
        </r>
      </text>
    </comment>
    <comment ref="F56" authorId="0">
      <text>
        <r>
          <rPr>
            <b/>
            <sz val="8"/>
            <color indexed="81"/>
            <rFont val="Tahoma"/>
            <family val="2"/>
          </rPr>
          <t xml:space="preserve">Wynik finansowy osiągnięty na sprzedaży zbędnych maszyn, przypadający na sztukę sprzedanego  wyrobu pełnowartościowego 
(dla założonej prognozy sprzedaży).
</t>
        </r>
        <r>
          <rPr>
            <b/>
            <sz val="8"/>
            <color indexed="10"/>
            <rFont val="Tahoma"/>
            <family val="2"/>
          </rPr>
          <t>FORMUŁA (iloraz)</t>
        </r>
      </text>
    </comment>
    <comment ref="G56" authorId="0">
      <text>
        <r>
          <rPr>
            <b/>
            <sz val="8"/>
            <color indexed="81"/>
            <rFont val="Tahoma"/>
            <charset val="238"/>
          </rPr>
          <t xml:space="preserve">Wynik finansowy osiągnięty na sprzedaży zbędnych maszyn.
Kosztami uzyskania przychodów ze sprzedaży jednej maszyny jest aktualną wartość księgowa netto tej maszyny (wartość z wydruku "WYBRANE INFORMACJE O SPÓŁCE", p.B).
</t>
        </r>
        <r>
          <rPr>
            <b/>
            <sz val="8"/>
            <color indexed="10"/>
            <rFont val="Tahoma"/>
            <family val="2"/>
          </rPr>
          <t xml:space="preserve">FORMUŁA 
(na podstawie danych z arkusza PERSONEL_MASZ) </t>
        </r>
      </text>
    </comment>
    <comment ref="F57" authorId="0">
      <text>
        <r>
          <rPr>
            <b/>
            <sz val="8"/>
            <color indexed="81"/>
            <rFont val="Tahoma"/>
            <charset val="238"/>
          </rPr>
          <t xml:space="preserve">Jednostkowa cena pełnowartościowego wyrobu gotowego, przy której SPÓŁKA osiągnie zerowy wynik finansowy  (sprzedając prognozowaną ilość wyrobów).
</t>
        </r>
        <r>
          <rPr>
            <b/>
            <sz val="8"/>
            <color indexed="10"/>
            <rFont val="Tahoma"/>
            <family val="2"/>
          </rPr>
          <t>FORMUŁA (iloraz)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57" authorId="0">
      <text>
        <r>
          <rPr>
            <b/>
            <sz val="8"/>
            <color indexed="81"/>
            <rFont val="Tahoma"/>
            <family val="2"/>
          </rPr>
          <t xml:space="preserve">Koszty, które SPÓŁKA musi pokryć przychodami ze sprzedaży wyrobów pełnowartościowych, aby osiągnąć zerowy wynik finansowy.
</t>
        </r>
        <r>
          <rPr>
            <b/>
            <sz val="8"/>
            <color indexed="10"/>
            <rFont val="Tahoma"/>
            <family val="2"/>
          </rPr>
          <t>FORMUŁA (suma/różnica odpowiednich pozycji od 10 do 16)</t>
        </r>
      </text>
    </comment>
    <comment ref="F58" authorId="0">
      <text>
        <r>
          <rPr>
            <b/>
            <sz val="8"/>
            <color indexed="81"/>
            <rFont val="Tahoma"/>
            <family val="2"/>
          </rPr>
          <t xml:space="preserve">Oferowana przez SPÓŁKĘ jednostkowa cena sprzedaży pełnowartościowego wyrobu gotowego
</t>
        </r>
        <r>
          <rPr>
            <b/>
            <sz val="8"/>
            <color indexed="10"/>
            <rFont val="Tahoma"/>
            <family val="2"/>
          </rPr>
          <t>LICZBA
UWAGA: oferowana cena musi być liczbą naturalną!!!</t>
        </r>
      </text>
    </comment>
    <comment ref="G58" authorId="0">
      <text>
        <r>
          <rPr>
            <b/>
            <sz val="8"/>
            <color indexed="81"/>
            <rFont val="Tahoma"/>
            <family val="2"/>
          </rPr>
          <t xml:space="preserve">Przychody ze sprzedaży wyrobów pełnowartościowych (przy założonej prognozie sprzedaży)
</t>
        </r>
        <r>
          <rPr>
            <b/>
            <sz val="8"/>
            <color indexed="10"/>
            <rFont val="Tahoma"/>
            <family val="2"/>
          </rPr>
          <t>FORMUŁA (iloczyn)</t>
        </r>
      </text>
    </comment>
    <comment ref="F59" authorId="0">
      <text>
        <r>
          <rPr>
            <b/>
            <sz val="8"/>
            <color indexed="81"/>
            <rFont val="Tahoma"/>
            <family val="2"/>
          </rPr>
          <t xml:space="preserve">Wynik finansowy brutto SPÓŁKI, przypadający na 1 sztukę sprzedaży pełnowartościowego wyrobu gotowego.
</t>
        </r>
        <r>
          <rPr>
            <b/>
            <sz val="8"/>
            <color indexed="10"/>
            <rFont val="Tahoma"/>
            <family val="2"/>
          </rPr>
          <t>FORMUŁA
(iloraz)</t>
        </r>
      </text>
    </comment>
    <comment ref="G59" authorId="0">
      <text>
        <r>
          <rPr>
            <b/>
            <sz val="8"/>
            <color indexed="81"/>
            <rFont val="Tahoma"/>
            <family val="2"/>
          </rPr>
          <t xml:space="preserve">Wynik finansowy brutto SPÓŁKI (przy założonej prognozie sprzedaży i oferowanej cenie sprzedaży)
</t>
        </r>
        <r>
          <rPr>
            <b/>
            <sz val="8"/>
            <color indexed="10"/>
            <rFont val="Tahoma"/>
            <family val="2"/>
          </rPr>
          <t>FORMUŁA (różnica)</t>
        </r>
      </text>
    </comment>
  </commentList>
</comments>
</file>

<file path=xl/comments2.xml><?xml version="1.0" encoding="utf-8"?>
<comments xmlns="http://schemas.openxmlformats.org/spreadsheetml/2006/main">
  <authors>
    <author>RZONCA</author>
    <author>Bill_Gates</author>
    <author>Lech</author>
  </authors>
  <commentList>
    <comment ref="C1" authorId="0">
      <text>
        <r>
          <rPr>
            <b/>
            <sz val="8"/>
            <color indexed="10"/>
            <rFont val="Tahoma"/>
            <family val="2"/>
            <charset val="238"/>
          </rPr>
          <t>FORMUŁA
Wartość pobrana z akusza CENA</t>
        </r>
      </text>
    </comment>
    <comment ref="G1" authorId="0">
      <text>
        <r>
          <rPr>
            <b/>
            <sz val="8"/>
            <color indexed="10"/>
            <rFont val="Tahoma"/>
            <family val="2"/>
            <charset val="238"/>
          </rPr>
          <t>FORMUŁA
Wartość pobrana z akusza CENA</t>
        </r>
      </text>
    </comment>
    <comment ref="J1" authorId="0">
      <text>
        <r>
          <rPr>
            <b/>
            <sz val="8"/>
            <color indexed="10"/>
            <rFont val="Tahoma"/>
            <family val="2"/>
            <charset val="238"/>
          </rPr>
          <t>FORMUŁA
Wartość pobrana z akusza CENA</t>
        </r>
      </text>
    </comment>
    <comment ref="H6" authorId="1">
      <text>
        <r>
          <rPr>
            <b/>
            <sz val="8"/>
            <color indexed="10"/>
            <rFont val="Tahoma"/>
            <family val="2"/>
          </rPr>
          <t xml:space="preserve">W tej kolumnie znajdują się
LICZBY 
(wartości zadane)
</t>
        </r>
      </text>
    </comment>
    <comment ref="I6" authorId="1">
      <text>
        <r>
          <rPr>
            <b/>
            <sz val="8"/>
            <color indexed="10"/>
            <rFont val="Tahoma"/>
            <family val="2"/>
          </rPr>
          <t>W tej kolumnie znajdują się
LICZBY 
(wartości zadane)</t>
        </r>
      </text>
    </comment>
    <comment ref="H13" authorId="2">
      <text>
        <r>
          <rPr>
            <b/>
            <sz val="8"/>
            <color indexed="10"/>
            <rFont val="Tahoma"/>
            <family val="2"/>
          </rPr>
          <t>UWAGA:</t>
        </r>
        <r>
          <rPr>
            <b/>
            <sz val="8"/>
            <color indexed="81"/>
            <rFont val="Tahoma"/>
            <family val="2"/>
          </rPr>
          <t xml:space="preserve">
Kwotę do zapłacenia dostawcy "EX" oblicza się jako iloczyn podanego mnożnika i całej kwoty (wraz z kosztem stałym zamówienia), którą zapłacilibyśmy dostawcy "ZW" za taką samą dostawę.</t>
        </r>
      </text>
    </comment>
    <comment ref="I13" authorId="2">
      <text>
        <r>
          <rPr>
            <b/>
            <sz val="8"/>
            <color indexed="10"/>
            <rFont val="Tahoma"/>
            <family val="2"/>
          </rPr>
          <t>UWAGA:</t>
        </r>
        <r>
          <rPr>
            <b/>
            <sz val="8"/>
            <color indexed="81"/>
            <rFont val="Tahoma"/>
            <family val="2"/>
          </rPr>
          <t xml:space="preserve">
Kwotę do zapłacenia dostawcy "EX" oblicza się jako iloczyn podanego mnożnika i całej kwoty (wraz z kosztem stałym zamówienia), którą zapłacilibyśmy dostawcy "ZW" za taką samą dostawę.</t>
        </r>
      </text>
    </comment>
    <comment ref="H14" authorId="2">
      <text>
        <r>
          <rPr>
            <b/>
            <sz val="8"/>
            <color indexed="10"/>
            <rFont val="Tahoma"/>
            <family val="2"/>
          </rPr>
          <t xml:space="preserve">UWAGA:
</t>
        </r>
        <r>
          <rPr>
            <b/>
            <sz val="8"/>
            <color indexed="81"/>
            <rFont val="Tahoma"/>
            <family val="2"/>
          </rPr>
          <t>Za każdą sprzedaną jednostkę materiału SPÓŁKA otrzymuje kwotę równą iloczynowi podanego współczynnika oraz najniższej aktualnie ceny sprzedaży tego materiału (CENA2), bez uwzględnienia kosztu stałego zamówienia.</t>
        </r>
      </text>
    </comment>
    <comment ref="I14" authorId="2">
      <text>
        <r>
          <rPr>
            <b/>
            <sz val="8"/>
            <color indexed="10"/>
            <rFont val="Tahoma"/>
            <family val="2"/>
          </rPr>
          <t xml:space="preserve">UWAGA:
</t>
        </r>
        <r>
          <rPr>
            <b/>
            <sz val="8"/>
            <color indexed="81"/>
            <rFont val="Tahoma"/>
            <family val="2"/>
          </rPr>
          <t>Za każdą sprzedaną jednostkę materiału SPÓŁKA otrzymuje kwotę równą iloczynowi podanego współczynnika oraz najniższej aktualnie ceny sprzedaży tego materiału (CENA2), bez uwzględnienia kosztu stałego zamówienia.</t>
        </r>
      </text>
    </comment>
    <comment ref="G20" authorId="1">
      <text>
        <r>
          <rPr>
            <b/>
            <sz val="8"/>
            <color indexed="10"/>
            <rFont val="Tahoma"/>
            <family val="2"/>
          </rPr>
          <t>LICZBA(wartość zadana)</t>
        </r>
      </text>
    </comment>
    <comment ref="F25" authorId="1">
      <text>
        <r>
          <rPr>
            <b/>
            <sz val="8"/>
            <color indexed="10"/>
            <rFont val="Tahoma"/>
            <family val="2"/>
          </rPr>
          <t xml:space="preserve">LICZBA 
(skutek decyzji SPÓŁKI z bieżącego miesiąca)
</t>
        </r>
      </text>
    </comment>
    <comment ref="A26" authorId="1">
      <text>
        <r>
          <rPr>
            <b/>
            <sz val="8"/>
            <color indexed="10"/>
            <rFont val="Tahoma"/>
            <family val="2"/>
          </rPr>
          <t>FORMUŁA (wartość pobrana z innej komórki)</t>
        </r>
      </text>
    </comment>
    <comment ref="B26" authorId="1">
      <text>
        <r>
          <rPr>
            <b/>
            <sz val="8"/>
            <color indexed="10"/>
            <rFont val="Tahoma"/>
            <family val="2"/>
          </rPr>
          <t>LICZBA 
(wartość podawana na wydruku "WYBRANE INFORMACJE O SPÓŁCE",  punkt D. "ZAPASY")</t>
        </r>
      </text>
    </comment>
    <comment ref="D26" authorId="1">
      <text>
        <r>
          <rPr>
            <b/>
            <sz val="8"/>
            <color indexed="10"/>
            <rFont val="Tahoma"/>
            <family val="2"/>
          </rPr>
          <t>LICZBA 
(skutek decyzji SPÓŁKI z bieżącego miesiąca)</t>
        </r>
      </text>
    </comment>
    <comment ref="F26" authorId="1">
      <text>
        <r>
          <rPr>
            <b/>
            <sz val="8"/>
            <color indexed="10"/>
            <rFont val="Tahoma"/>
            <family val="2"/>
          </rPr>
          <t>LICZBA 
(skutek decyzji SPÓŁKI z poprzedniego miesiąca)</t>
        </r>
      </text>
    </comment>
    <comment ref="G2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26" authorId="1">
      <text>
        <r>
          <rPr>
            <b/>
            <sz val="8"/>
            <color indexed="10"/>
            <rFont val="Tahoma"/>
            <family val="2"/>
          </rPr>
          <t xml:space="preserve">FORMUŁA
 (wartość pobrana z arkusza CENA)
</t>
        </r>
      </text>
    </comment>
    <comment ref="I2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J2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F35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A36" authorId="1">
      <text>
        <r>
          <rPr>
            <b/>
            <sz val="8"/>
            <color indexed="10"/>
            <rFont val="Tahoma"/>
            <family val="2"/>
          </rPr>
          <t>FORMUŁA (wartość pobrana z innej komórki)</t>
        </r>
      </text>
    </comment>
    <comment ref="B36" authorId="1">
      <text>
        <r>
          <rPr>
            <b/>
            <sz val="8"/>
            <color indexed="10"/>
            <rFont val="Tahoma"/>
            <family val="2"/>
          </rPr>
          <t>LICZBA (wartość podawana na wydruku "BILANS")</t>
        </r>
      </text>
    </comment>
    <comment ref="C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D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F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G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J36" authorId="1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A48" authorId="0">
      <text>
        <r>
          <rPr>
            <b/>
            <sz val="8"/>
            <color indexed="10"/>
            <rFont val="Tahoma"/>
            <family val="2"/>
            <charset val="238"/>
          </rPr>
          <t>FORMUŁA 
(wartość pobrana z innej komórki)</t>
        </r>
      </text>
    </comment>
    <comment ref="A58" authorId="0">
      <text>
        <r>
          <rPr>
            <b/>
            <sz val="8"/>
            <color indexed="10"/>
            <rFont val="Tahoma"/>
            <family val="2"/>
            <charset val="238"/>
          </rPr>
          <t>FORMUŁA 
(wartość pobrana z innej komórki)</t>
        </r>
      </text>
    </comment>
  </commentList>
</comments>
</file>

<file path=xl/comments3.xml><?xml version="1.0" encoding="utf-8"?>
<comments xmlns="http://schemas.openxmlformats.org/spreadsheetml/2006/main">
  <authors>
    <author>Waldemar Rzońca</author>
  </authors>
  <commentList>
    <comment ref="B13" authorId="0">
      <text>
        <r>
          <rPr>
            <b/>
            <sz val="8"/>
            <color indexed="10"/>
            <rFont val="Tahoma"/>
            <family val="2"/>
          </rPr>
          <t>LICZBA 
(wartość podawana na wydruku "WYBRANE INFORMACJE O SPÓŁCE",  punkt D. "ZAPASY")</t>
        </r>
        <r>
          <rPr>
            <b/>
            <sz val="8"/>
            <color indexed="81"/>
            <rFont val="Tahoma"/>
            <charset val="238"/>
          </rPr>
          <t xml:space="preserve">
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 xml:space="preserve">FORMUŁA
 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 xml:space="preserve">FORMUŁA
 </t>
        </r>
      </text>
    </comment>
    <comment ref="B23" authorId="0">
      <text>
        <r>
          <rPr>
            <b/>
            <sz val="8"/>
            <color indexed="81"/>
            <rFont val="Tahoma"/>
            <charset val="238"/>
          </rPr>
          <t xml:space="preserve">Wartość zapasu półfabrykatów pełnowartościowych na początku miesiąca.
</t>
        </r>
        <r>
          <rPr>
            <b/>
            <sz val="8"/>
            <color indexed="10"/>
            <rFont val="Tahoma"/>
            <family val="2"/>
          </rPr>
          <t>LICZBA 
(wartość podawana na wydruku "BILANS")</t>
        </r>
      </text>
    </comment>
    <comment ref="C23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D2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>FORMUŁA
 (suma)</t>
        </r>
      </text>
    </comment>
    <comment ref="F23" authorId="0">
      <text>
        <r>
          <rPr>
            <b/>
            <sz val="8"/>
            <color indexed="10"/>
            <rFont val="Tahoma"/>
            <family val="2"/>
          </rPr>
          <t>FORMUŁA
 (iloraz)</t>
        </r>
      </text>
    </comment>
    <comment ref="G23" authorId="0">
      <text>
        <r>
          <rPr>
            <b/>
            <sz val="8"/>
            <color indexed="10"/>
            <rFont val="Tahoma"/>
            <family val="2"/>
          </rPr>
          <t>Formuła
(iloczyn)</t>
        </r>
      </text>
    </comment>
    <comment ref="H23" authorId="0">
      <text>
        <r>
          <rPr>
            <b/>
            <sz val="8"/>
            <color indexed="10"/>
            <rFont val="Tahoma"/>
            <family val="2"/>
          </rPr>
          <t xml:space="preserve">Formuła
</t>
        </r>
      </text>
    </comment>
    <comment ref="B35" authorId="0">
      <text>
        <r>
          <rPr>
            <b/>
            <sz val="8"/>
            <color indexed="10"/>
            <rFont val="Tahoma"/>
            <family val="2"/>
          </rPr>
          <t>Stała wartość
(liczba)</t>
        </r>
      </text>
    </comment>
    <comment ref="D35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B44" authorId="0">
      <text>
        <r>
          <rPr>
            <b/>
            <sz val="8"/>
            <color indexed="10"/>
            <rFont val="Tahoma"/>
            <family val="2"/>
          </rPr>
          <t>Stała wartość
(liczba)</t>
        </r>
      </text>
    </comment>
    <comment ref="D44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G44" authorId="0">
      <text>
        <r>
          <rPr>
            <b/>
            <sz val="8"/>
            <color indexed="10"/>
            <rFont val="Tahoma"/>
            <family val="2"/>
          </rPr>
          <t>Formuła
(iloczyn)</t>
        </r>
      </text>
    </comment>
  </commentList>
</comments>
</file>

<file path=xl/comments4.xml><?xml version="1.0" encoding="utf-8"?>
<comments xmlns="http://schemas.openxmlformats.org/spreadsheetml/2006/main">
  <authors>
    <author>Waldemar Rzońca</author>
  </authors>
  <commentList>
    <comment ref="B13" authorId="0">
      <text>
        <r>
          <rPr>
            <b/>
            <sz val="8"/>
            <color indexed="10"/>
            <rFont val="Tahoma"/>
            <family val="2"/>
          </rPr>
          <t>LICZBA 
(wartość podawana na wydruku "WYBRANE INFORMACJE O SPÓŁCE",  punkt D. "ZAPASY")</t>
        </r>
      </text>
    </comment>
    <comment ref="D1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E13" authorId="0">
      <text>
        <r>
          <rPr>
            <b/>
            <sz val="8"/>
            <color indexed="10"/>
            <rFont val="Tahoma"/>
            <family val="2"/>
          </rPr>
          <t>FORMUŁA
 (suma)</t>
        </r>
      </text>
    </comment>
    <comment ref="G1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 xml:space="preserve">FORMUŁA
</t>
        </r>
      </text>
    </comment>
    <comment ref="B23" authorId="0">
      <text>
        <r>
          <rPr>
            <b/>
            <sz val="8"/>
            <color indexed="81"/>
            <rFont val="Tahoma"/>
            <charset val="238"/>
          </rPr>
          <t xml:space="preserve">Wartość zapasu wyrobów  pełnowartościowych na początku miesiąca.
</t>
        </r>
        <r>
          <rPr>
            <b/>
            <sz val="8"/>
            <color indexed="10"/>
            <rFont val="Tahoma"/>
            <family val="2"/>
          </rPr>
          <t xml:space="preserve">LICZBA
 (wartość podawana na wydruku "BILANS")
</t>
        </r>
      </text>
    </comment>
    <comment ref="C23" authorId="0">
      <text>
        <r>
          <rPr>
            <b/>
            <sz val="8"/>
            <color indexed="10"/>
            <rFont val="Tahoma"/>
            <family val="2"/>
          </rPr>
          <t>FORMUŁA
 (iloraz)</t>
        </r>
      </text>
    </comment>
    <comment ref="D2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>FORMUŁA
 (suma)</t>
        </r>
      </text>
    </comment>
    <comment ref="F23" authorId="0">
      <text>
        <r>
          <rPr>
            <b/>
            <sz val="8"/>
            <color indexed="10"/>
            <rFont val="Tahoma"/>
            <family val="2"/>
          </rPr>
          <t>FORMUŁA
 (iloraz)</t>
        </r>
      </text>
    </comment>
    <comment ref="G23" authorId="0">
      <text>
        <r>
          <rPr>
            <b/>
            <sz val="8"/>
            <color indexed="10"/>
            <rFont val="Tahoma"/>
            <family val="2"/>
          </rPr>
          <t>Formuła
(iloczyn)</t>
        </r>
      </text>
    </comment>
    <comment ref="H23" authorId="0">
      <text>
        <r>
          <rPr>
            <b/>
            <sz val="8"/>
            <color indexed="10"/>
            <rFont val="Tahoma"/>
            <family val="2"/>
          </rPr>
          <t xml:space="preserve">Formuła
</t>
        </r>
      </text>
    </comment>
    <comment ref="B34" authorId="0">
      <text>
        <r>
          <rPr>
            <b/>
            <sz val="8"/>
            <color indexed="10"/>
            <rFont val="Tahoma"/>
            <family val="2"/>
          </rPr>
          <t>Stała wartość
(liczba)</t>
        </r>
      </text>
    </comment>
    <comment ref="D34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B43" authorId="0">
      <text>
        <r>
          <rPr>
            <b/>
            <sz val="8"/>
            <color indexed="10"/>
            <rFont val="Tahoma"/>
            <family val="2"/>
          </rPr>
          <t>Stała wartość
(liczba)</t>
        </r>
      </text>
    </comment>
    <comment ref="D43" authorId="0">
      <text>
        <r>
          <rPr>
            <b/>
            <sz val="8"/>
            <color indexed="10"/>
            <rFont val="Tahoma"/>
            <family val="2"/>
          </rPr>
          <t>FORMUŁA
 (wartość pobrana z arkusza CENA)</t>
        </r>
      </text>
    </comment>
    <comment ref="G43" authorId="0">
      <text>
        <r>
          <rPr>
            <b/>
            <sz val="8"/>
            <color indexed="10"/>
            <rFont val="Tahoma"/>
            <family val="2"/>
          </rPr>
          <t>Formuła
(iloczyn)</t>
        </r>
      </text>
    </comment>
  </commentList>
</comments>
</file>

<file path=xl/comments5.xml><?xml version="1.0" encoding="utf-8"?>
<comments xmlns="http://schemas.openxmlformats.org/spreadsheetml/2006/main">
  <authors>
    <author>Bill_Gates</author>
  </authors>
  <commentList>
    <comment ref="H5" authorId="0">
      <text>
        <r>
          <rPr>
            <b/>
            <sz val="8"/>
            <color indexed="10"/>
            <rFont val="Tahoma"/>
            <family val="2"/>
          </rPr>
          <t>LICZBA (wartość zadana, stała przez co najmniej 12 miesięcy)</t>
        </r>
      </text>
    </comment>
    <comment ref="H6" authorId="0">
      <text>
        <r>
          <rPr>
            <b/>
            <sz val="8"/>
            <color indexed="10"/>
            <rFont val="Tahoma"/>
            <family val="2"/>
          </rPr>
          <t>LICZBA (wartość zadana, stała przez co najmniej 12 miesięcy)</t>
        </r>
      </text>
    </comment>
    <comment ref="H7" authorId="0">
      <text>
        <r>
          <rPr>
            <b/>
            <sz val="8"/>
            <color indexed="10"/>
            <rFont val="Tahoma"/>
            <family val="2"/>
          </rPr>
          <t>LICZBA (wartość zadana, stała przez co najmniej 12 miesięcy)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9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11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12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13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H14" authorId="0">
      <text>
        <r>
          <rPr>
            <b/>
            <sz val="8"/>
            <color indexed="10"/>
            <rFont val="Tahoma"/>
            <family val="2"/>
          </rPr>
          <t>FORMUŁA 
(uwaga: filtry amortyzowane są metodą odpisów naturalnych)</t>
        </r>
      </text>
    </comment>
    <comment ref="H15" authorId="0">
      <text>
        <r>
          <rPr>
            <b/>
            <sz val="8"/>
            <color indexed="10"/>
            <rFont val="Tahoma"/>
            <family val="2"/>
          </rPr>
          <t>LICZBA (wartość z wydruku "WYBRANE INFORMACJE O SPÓŁCE", p.F)</t>
        </r>
      </text>
    </comment>
    <comment ref="H16" authorId="0">
      <text>
        <r>
          <rPr>
            <b/>
            <sz val="8"/>
            <color indexed="10"/>
            <rFont val="Tahoma"/>
            <family val="2"/>
          </rPr>
          <t xml:space="preserve">LICZBA (skutek decyzji SPÓŁKI z poprzedniego miesiąca). </t>
        </r>
      </text>
    </comment>
    <comment ref="H17" authorId="0">
      <text>
        <r>
          <rPr>
            <b/>
            <sz val="8"/>
            <color indexed="10"/>
            <rFont val="Tahoma"/>
            <family val="2"/>
          </rPr>
          <t>FORMUŁA 
(dostawa filtrów, maksymalna liczba filtrów, którą można jeszcze zainstalować)</t>
        </r>
      </text>
    </comment>
    <comment ref="H18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19" authorId="0">
      <text>
        <r>
          <rPr>
            <b/>
            <sz val="8"/>
            <color indexed="10"/>
            <rFont val="Tahoma"/>
            <family val="2"/>
          </rPr>
          <t>FORMUŁA (należy uwzględnić wyłącznie wydajność zainstalowanych filtrów. Ich wolną pojemność pomijamy, ponieważ analizujemy zachowanie się SPÓŁKI w okresie nie dłuższym niż 12 miesięcy od jej założenia)</t>
        </r>
      </text>
    </comment>
    <comment ref="H20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21" authorId="0">
      <text>
        <r>
          <rPr>
            <b/>
            <sz val="8"/>
            <color indexed="10"/>
            <rFont val="Tahoma"/>
            <family val="2"/>
          </rPr>
          <t xml:space="preserve">FORMUŁA </t>
        </r>
      </text>
    </comment>
    <comment ref="H22" authorId="0">
      <text>
        <r>
          <rPr>
            <b/>
            <sz val="8"/>
            <color indexed="10"/>
            <rFont val="Tahoma"/>
            <family val="2"/>
          </rPr>
          <t xml:space="preserve">FORMUŁA </t>
        </r>
      </text>
    </comment>
    <comment ref="H23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24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H25" authorId="0">
      <text>
        <r>
          <rPr>
            <b/>
            <sz val="8"/>
            <color indexed="10"/>
            <rFont val="Tahoma"/>
            <family val="2"/>
          </rPr>
          <t>FORMUŁA
(dostawa filtrów, przyjęcie filtrów)</t>
        </r>
      </text>
    </comment>
    <comment ref="H26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</commentList>
</comments>
</file>

<file path=xl/comments6.xml><?xml version="1.0" encoding="utf-8"?>
<comments xmlns="http://schemas.openxmlformats.org/spreadsheetml/2006/main">
  <authors>
    <author>Bill_Gates</author>
  </authors>
  <commentList>
    <comment ref="I6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7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8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9" authorId="0">
      <text>
        <r>
          <rPr>
            <b/>
            <sz val="8"/>
            <color indexed="10"/>
            <rFont val="Tahoma"/>
            <family val="2"/>
          </rPr>
          <t>FORMUŁA
(wartość pobrana z arkusza MATERIAŁY)</t>
        </r>
      </text>
    </comment>
    <comment ref="I10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11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12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15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16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17" authorId="0">
      <text>
        <r>
          <rPr>
            <b/>
            <sz val="8"/>
            <color indexed="10"/>
            <rFont val="Tahoma"/>
            <family val="2"/>
          </rPr>
          <t>LICZBA (wartość zadana)</t>
        </r>
      </text>
    </comment>
    <comment ref="I18" authorId="0">
      <text>
        <r>
          <rPr>
            <b/>
            <sz val="8"/>
            <color indexed="10"/>
            <rFont val="Tahoma"/>
            <family val="2"/>
          </rPr>
          <t>FORMUŁA
(wartość pobrana z arkusza WYR_EWID)</t>
        </r>
      </text>
    </comment>
    <comment ref="I19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20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21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  <comment ref="I23" authorId="0">
      <text>
        <r>
          <rPr>
            <b/>
            <sz val="8"/>
            <color indexed="10"/>
            <rFont val="Tahoma"/>
            <family val="2"/>
          </rPr>
          <t>FORMUŁA</t>
        </r>
      </text>
    </comment>
  </commentList>
</comments>
</file>

<file path=xl/comments7.xml><?xml version="1.0" encoding="utf-8"?>
<comments xmlns="http://schemas.openxmlformats.org/spreadsheetml/2006/main">
  <authors>
    <author>Ania</author>
  </authors>
  <commentList>
    <comment ref="F4" authorId="0">
      <text>
        <r>
          <rPr>
            <b/>
            <sz val="8"/>
            <color indexed="81"/>
            <rFont val="Tahoma"/>
            <family val="2"/>
            <charset val="238"/>
          </rPr>
          <t>PRZEPŁYW ŚRODKÓW PIENIĘŻNYCH
(Stan końcowy z poprzedniego miesiąca)</t>
        </r>
      </text>
    </comment>
    <comment ref="L30" authorId="0">
      <text>
        <r>
          <rPr>
            <b/>
            <sz val="8"/>
            <color indexed="81"/>
            <rFont val="Tahoma"/>
            <family val="2"/>
            <charset val="238"/>
          </rPr>
          <t>BILANS
(50% zysku z poprzedniego miesiąca po zwiększeniu Kapitału zakładowego)</t>
        </r>
      </text>
    </comment>
  </commentList>
</comments>
</file>

<file path=xl/sharedStrings.xml><?xml version="1.0" encoding="utf-8"?>
<sst xmlns="http://schemas.openxmlformats.org/spreadsheetml/2006/main" count="885" uniqueCount="460">
  <si>
    <t xml:space="preserve">   Miesiąc:</t>
  </si>
  <si>
    <t xml:space="preserve">CENA SPRZEDAŻY </t>
  </si>
  <si>
    <t>Ilość</t>
  </si>
  <si>
    <t xml:space="preserve">Wartość </t>
  </si>
  <si>
    <t>Wartość</t>
  </si>
  <si>
    <t>Lp.</t>
  </si>
  <si>
    <t xml:space="preserve">      Rodzaj kosztów</t>
  </si>
  <si>
    <t xml:space="preserve"> </t>
  </si>
  <si>
    <t>jednostkowa</t>
  </si>
  <si>
    <t>razem</t>
  </si>
  <si>
    <t>1.</t>
  </si>
  <si>
    <t>[PLN/szt.]</t>
  </si>
  <si>
    <t>[PLN]</t>
  </si>
  <si>
    <t>Mc</t>
  </si>
  <si>
    <t>+ Dostawa</t>
  </si>
  <si>
    <t>Wielkość</t>
  </si>
  <si>
    <t>2.</t>
  </si>
  <si>
    <t>KOSZTY PRODUKCJI PÓŁFABRYKATÓW (razem)</t>
  </si>
  <si>
    <t>nr</t>
  </si>
  <si>
    <t>3.</t>
  </si>
  <si>
    <t>1.A</t>
  </si>
  <si>
    <t>Półfabrykaty pełnowartościowe (DOBRE_1)</t>
  </si>
  <si>
    <t>Ex</t>
  </si>
  <si>
    <t>4.</t>
  </si>
  <si>
    <t>1.B</t>
  </si>
  <si>
    <t>Półfabrykaty niepełnowartościowe (BRAKI_1)</t>
  </si>
  <si>
    <t>Zw</t>
  </si>
  <si>
    <t>5.</t>
  </si>
  <si>
    <t>1.1</t>
  </si>
  <si>
    <t>-materiały bezpośrednie (granulat)</t>
  </si>
  <si>
    <t>6.</t>
  </si>
  <si>
    <t>1.2</t>
  </si>
  <si>
    <t>7.</t>
  </si>
  <si>
    <t>1.3</t>
  </si>
  <si>
    <t>-amortyzacja maszyn</t>
  </si>
  <si>
    <t>8.</t>
  </si>
  <si>
    <t>1.4</t>
  </si>
  <si>
    <t>-amortyzacja filtrów</t>
  </si>
  <si>
    <t>- Wartość</t>
  </si>
  <si>
    <t>+Wartość</t>
  </si>
  <si>
    <t xml:space="preserve">=Wartość </t>
  </si>
  <si>
    <t>1.5</t>
  </si>
  <si>
    <t>-inne koszty (bez amortyzacji)</t>
  </si>
  <si>
    <t>na początku</t>
  </si>
  <si>
    <t>sprzedaży</t>
  </si>
  <si>
    <t xml:space="preserve"> dostawy</t>
  </si>
  <si>
    <t>produkcji</t>
  </si>
  <si>
    <t xml:space="preserve"> [PLN]</t>
  </si>
  <si>
    <t>[PLN/kg]</t>
  </si>
  <si>
    <t>[kg]</t>
  </si>
  <si>
    <t>PÓŁFABRYKATY przekazane do 2 fazy</t>
  </si>
  <si>
    <t>KOSZTY PRODUKCJI W 2 FAZIE (bez półfabrykatów)</t>
  </si>
  <si>
    <t>-materiały bezpośrednie (elektronika)</t>
  </si>
  <si>
    <t>wielkość</t>
  </si>
  <si>
    <t>w 2 fazie</t>
  </si>
  <si>
    <t>Wyroby pełnowartościowe (DOBRE_2)</t>
  </si>
  <si>
    <t>Wyroby niepełnowartościowe (BRAKI_2)</t>
  </si>
  <si>
    <t>WYROBY DOBRE_2 RAZEM (zapas+produkcja)</t>
  </si>
  <si>
    <t>PRZEWIDYWANA SPRZEDAŻ (DOBRE_2)</t>
  </si>
  <si>
    <t xml:space="preserve">KOSZTY WYDZIAŁOWE I OGÓLNE </t>
  </si>
  <si>
    <t>-serwis maszyn (bez napraw)</t>
  </si>
  <si>
    <t>prognoza</t>
  </si>
  <si>
    <t>-naprawy maszyn</t>
  </si>
  <si>
    <t>-zatrudnienie nowych pracowników (usługa zewnętrzna)</t>
  </si>
  <si>
    <t>wyrobów</t>
  </si>
  <si>
    <t>[szt.]</t>
  </si>
  <si>
    <t>-zwolnienie personelu z inicjatywy SPÓŁKI</t>
  </si>
  <si>
    <t>-szkolenie personelu (montażyści)</t>
  </si>
  <si>
    <t>-utrzymanie urządzeń dodatkowych 1-5 w ruchu</t>
  </si>
  <si>
    <t>-podatek od emisji zanieczyszczeń</t>
  </si>
  <si>
    <t>-prace B&amp;R</t>
  </si>
  <si>
    <t xml:space="preserve">-zakup płatnych raportów </t>
  </si>
  <si>
    <t>-składowanie w obcych magazynach</t>
  </si>
  <si>
    <t>-amortyzacja (budynki oraz urządzenia dodatkowe 4 i 5)</t>
  </si>
  <si>
    <t>-nierozliczone wynagrodzenia bezpośrednie (Faza 1 i 2)</t>
  </si>
  <si>
    <t>-pozostałe koszty (bez amortyzacji)</t>
  </si>
  <si>
    <t>KOSZTY SPRZEDAŻY wyrobów pełnowartościowych</t>
  </si>
  <si>
    <t>-reklama</t>
  </si>
  <si>
    <t>-transport wyrobów do odbiorców</t>
  </si>
  <si>
    <t>KOSZT WŁASNY SPRZEDAŻY wyrobów pełnowart.</t>
  </si>
  <si>
    <t xml:space="preserve"> odsetki od kredytów długo- i krótkoterminowych          (+)</t>
  </si>
  <si>
    <t xml:space="preserve"> dodatkowe przychody (określa prowadzący)                (-)</t>
  </si>
  <si>
    <t xml:space="preserve"> WYNIK NA SPRZEDAŻY "BRAKÓW_1" (półfabrykaty) (-)</t>
  </si>
  <si>
    <t xml:space="preserve"> WYNIK NA SPRZEDAŻY "BRAKÓW_2" (wyroby)        (-)</t>
  </si>
  <si>
    <t xml:space="preserve"> WYNIK NA SPRZEDAŻY MATERIAŁÓW                    (-)</t>
  </si>
  <si>
    <t>Cena wyrobów, dla której WYNIK FINANSOWY=0</t>
  </si>
  <si>
    <t>Ilość zanieczyszczeń możliwych do wychwycenia przez filtry w m-cu [j.z.]</t>
  </si>
  <si>
    <t>Ilość zanieczyszczeń wytworzonych w miesiącu [j.z.]</t>
  </si>
  <si>
    <t>Ilość zanieczyszczeń wychwyconych przez filtry [j.z.]</t>
  </si>
  <si>
    <t>Emisja zanieczyszczeń do atmosfery [j.z.]</t>
  </si>
  <si>
    <t>Jednostkowa amortyzacja filtrów [PLN/jednostkę wychwyconych zaniecz.]</t>
  </si>
  <si>
    <t>Niższa stawka podatku od emisji zanieczyszczeń [PLN/j.z.]</t>
  </si>
  <si>
    <t>Próg emisji, powyżej którego obowiązuje wyższa stawka podatku [j.z.]</t>
  </si>
  <si>
    <t>Wyższa stawka podatku od emisji zanieczyszczeń [PLN/j.z.]</t>
  </si>
  <si>
    <t>w 1 fazie</t>
  </si>
  <si>
    <t>Nr spółki:</t>
  </si>
  <si>
    <t xml:space="preserve">   Nr spółki:</t>
  </si>
  <si>
    <t>Miesiąc:</t>
  </si>
  <si>
    <t>Symbol kursu:</t>
  </si>
  <si>
    <t>Koszt stały zamówienia [PLN]</t>
  </si>
  <si>
    <t>Mnożnik cen dla dostawcy "EX" (dostawca szybszy)</t>
  </si>
  <si>
    <t>Współczynnik ceny sprzedaży zbędnego zapasu przez SPÓŁKĘ</t>
  </si>
  <si>
    <t>Nazwa pozycji</t>
  </si>
  <si>
    <t>I. CENY ZAKUPU/SPRZEDAŻY MATERIAŁÓW PRZEZ SPÓŁKĘ</t>
  </si>
  <si>
    <t>II. EWIDENCJA MAGAZYNOWA GRANULATU</t>
  </si>
  <si>
    <t>1. Ewidencja ilościowa granulatu  [kg]</t>
  </si>
  <si>
    <t>2. Ewidencja wartościowa granulatu [PLN] lub [PLN/kg]</t>
  </si>
  <si>
    <t>II. EWIDENCJA MAGAZYNOWA ELEKTRONIKI</t>
  </si>
  <si>
    <t>1. Ewidencja ilościowa elektroniki [szt.]</t>
  </si>
  <si>
    <t>2. Ewidencja wartościowa elektroniki [PLN] lub [PLN/szt.]</t>
  </si>
  <si>
    <t>granulatu na</t>
  </si>
  <si>
    <t>pocz. mies.</t>
  </si>
  <si>
    <t>Wolne</t>
  </si>
  <si>
    <t>pole</t>
  </si>
  <si>
    <t>Jednostkowa</t>
  </si>
  <si>
    <t>cena</t>
  </si>
  <si>
    <t>ewidencyjna</t>
  </si>
  <si>
    <t>granulatu</t>
  </si>
  <si>
    <t>miesiąca</t>
  </si>
  <si>
    <t>w cenach</t>
  </si>
  <si>
    <t>ewidenc.</t>
  </si>
  <si>
    <t>w cenie</t>
  </si>
  <si>
    <t>zakupu</t>
  </si>
  <si>
    <t>= Ilość</t>
  </si>
  <si>
    <t>po dostawie</t>
  </si>
  <si>
    <t>w Fazie 1</t>
  </si>
  <si>
    <t>[szt. obudów]</t>
  </si>
  <si>
    <t>- Ilość granul.</t>
  </si>
  <si>
    <t>wydanego do</t>
  </si>
  <si>
    <t>końcu mies.</t>
  </si>
  <si>
    <t>na końcu</t>
  </si>
  <si>
    <t xml:space="preserve">Granulat </t>
  </si>
  <si>
    <t xml:space="preserve">Elektronika </t>
  </si>
  <si>
    <t>Próg 1 zamówienia [kg lub szt.]</t>
  </si>
  <si>
    <t>Próg 2 zamówienia [kg lub szt.]</t>
  </si>
  <si>
    <t>M A T E R I A Ł Y (granulat oraz elektronika)</t>
  </si>
  <si>
    <t>elektroniki</t>
  </si>
  <si>
    <t>wydanej do</t>
  </si>
  <si>
    <t>elektroniki na</t>
  </si>
  <si>
    <t>w Fazie 2</t>
  </si>
  <si>
    <t>[szt. wyr.]</t>
  </si>
  <si>
    <t>- Ilość elektr.</t>
  </si>
  <si>
    <t xml:space="preserve">       Zużycie jednostkowe w produkcji [szt./wyrób]  =</t>
  </si>
  <si>
    <t>Uwaga: o ile nie zaznaczono inaczej, to podane wartości wyrażone są w cenach ewidencyjnych</t>
  </si>
  <si>
    <t>Zużycie jednostkowe w produkcji [kg/obudowę]=</t>
  </si>
  <si>
    <t>- Ilość</t>
  </si>
  <si>
    <t>sprzedanego</t>
  </si>
  <si>
    <t>sprzedanej</t>
  </si>
  <si>
    <t xml:space="preserve">          Symbol kursu: </t>
  </si>
  <si>
    <t>-wynagrodzenia bezpośrednie montażystów (normatyw)</t>
  </si>
  <si>
    <t>-zakup obiektów i urządzeń dodatkowych nr 1, 2 i 3</t>
  </si>
  <si>
    <t>-wynagrodzenia bezpośrednie operatorów (normatyw)</t>
  </si>
  <si>
    <t>Cena zakupu jednego filtra [PLN]</t>
  </si>
  <si>
    <t>Całkowita pojemność jednego filtra [j.z.]</t>
  </si>
  <si>
    <t>Liczba zainstalowanych filtrów na końcu poprzedniego miesiąca [szt.]</t>
  </si>
  <si>
    <t>Liczba filtrów nowo zainstalowanych w bieżącym miesiącu (dostawa) [szt.]</t>
  </si>
  <si>
    <t>Jednostkowe kary umowne za zwrot filtra do dostawcy [%ceny zakupu/filtr]</t>
  </si>
  <si>
    <t>Liczba filtrów odesłanych do dostawcy [szt.]</t>
  </si>
  <si>
    <t>Kwota miesięcznej amortyzacji wszystkich filtrów [PLN]</t>
  </si>
  <si>
    <t>Jednostkowe wytwarzanie zanieczyszczeń w produkcji [j.z./szt. obudowy]</t>
  </si>
  <si>
    <t>Wydajność jednego filtra (tempo pochłaniania zanieczyszczeń) [j.z./miesiąc]</t>
  </si>
  <si>
    <t>Kary umowne za zwrot filtrów do dostawcy [PLN]</t>
  </si>
  <si>
    <t>ŚRODOWISKO NATURALNE</t>
  </si>
  <si>
    <t>Liczba wszystkich zainstalowanych filtrów po dostawie [szt.]</t>
  </si>
  <si>
    <t>Dostawa filtrów w bieżącym miesiącu [szt.]</t>
  </si>
  <si>
    <t>Maksymalna liczba filtrów, które można zainstalować w SPÓŁCE [szt.]</t>
  </si>
  <si>
    <t>-dodatkowe kary umowne (określa prowadzący)</t>
  </si>
  <si>
    <t>-dodatkowe koszty (określa prowadzący)</t>
  </si>
  <si>
    <t xml:space="preserve">OFEROWANA CENA SPRZEDAŻY WYROBÓW </t>
  </si>
  <si>
    <t>WYNIK FINANSOWY BRUTTO</t>
  </si>
  <si>
    <t>-zmiana asortymentu produkcji (przezbrojenie maszyn)</t>
  </si>
  <si>
    <t>(&gt;=0)</t>
  </si>
  <si>
    <t>PÓŁFABRYKATY PEŁNOWART. RAZEM (zapas+produkcja)</t>
  </si>
  <si>
    <t xml:space="preserve">-kary umowne: zwroty dostaw </t>
  </si>
  <si>
    <t>Cena podstawowa [PLN/kg lub PLN/szt.]</t>
  </si>
  <si>
    <t>Cena 1 [PLN/kg lub PLN/szt.]</t>
  </si>
  <si>
    <t>Cena 2 [PLN/kg lub PLN/szt.]</t>
  </si>
  <si>
    <t>Podatek od emisji zanieczyszczeń [PLN]</t>
  </si>
  <si>
    <t xml:space="preserve"> WYNIK NA SPRZEDAŻY MASZYN                             (-)</t>
  </si>
  <si>
    <t>I. MAGAZYNY ELEKTRONIKI</t>
  </si>
  <si>
    <t>Pojemność własnego magazynu elektroniki [szt.]</t>
  </si>
  <si>
    <t>Pojemność jednego obcego modułu magazynowego [szt. elektroniki]</t>
  </si>
  <si>
    <t>Miesięczny koszt dzierżawy obcego modułu magazynowego [PLN/mies.]</t>
  </si>
  <si>
    <t>Zapas elektroniki po sprzedaży i po nowej dostawie (na początku miesiąca) [szt.]</t>
  </si>
  <si>
    <t>Zapas elektroniki nie mieszczący się we własnym magazynie [szt.]</t>
  </si>
  <si>
    <t>Liczba potrzebnych obcych modułów magazynowych [szt.]</t>
  </si>
  <si>
    <t>Koszt dzierżawy obcych modułów magazynowych elektroniki [PLN]</t>
  </si>
  <si>
    <t>II. MAGAZYNY WYROBÓW GOTOWYCH</t>
  </si>
  <si>
    <t>Pojemność własnego magazynu wyrobów [szt.]</t>
  </si>
  <si>
    <t>Pojemność jednego obcego modułu magazynowego [szt. wyrobów]</t>
  </si>
  <si>
    <t>Zapas wyrobów na końcu miesiąca (po sprzedaży) [szt.]</t>
  </si>
  <si>
    <t>Zapas wyrobów nie mieszczący się we własnym magazynie [szt.]</t>
  </si>
  <si>
    <t>Liczba potrzebnych obcych modułów magazynowych</t>
  </si>
  <si>
    <t>Koszt dzierżawy obcych modułów magazynowych wyrobów gotowych [PLN]</t>
  </si>
  <si>
    <t>Suma kosztów dzierżawy wszystkich obcych modułów magazynowych [PLN]</t>
  </si>
  <si>
    <t>MAGAZYNY  OBCE  (DZIERŻAWA)</t>
  </si>
  <si>
    <t xml:space="preserve">EWIDENCJA MAGAZYNOWA PÓŁFABRYKATÓW </t>
  </si>
  <si>
    <t>I. EWIDENCJA MAGAZYNOWA OBUDÓW PEŁNOWARTOŚCIOWYCH</t>
  </si>
  <si>
    <t>1. Ewidencja ilościowa  obudów pełnowartościowych [szt.]</t>
  </si>
  <si>
    <t>obudów na</t>
  </si>
  <si>
    <t>obudów</t>
  </si>
  <si>
    <t>obudów wydanych</t>
  </si>
  <si>
    <t>(z produkcji)</t>
  </si>
  <si>
    <t>do montażu</t>
  </si>
  <si>
    <t>[szt]</t>
  </si>
  <si>
    <t>2. Ewidencja wartościowa obudów pełnowartościowych [PLN] lub [PLN/szt.]</t>
  </si>
  <si>
    <t>zapasu</t>
  </si>
  <si>
    <t>wydanych obudów</t>
  </si>
  <si>
    <t xml:space="preserve">(mierzona </t>
  </si>
  <si>
    <t>kosztami prod.)</t>
  </si>
  <si>
    <t>ewidencyjnych</t>
  </si>
  <si>
    <t>1. Ewidencja ilościowa  obudów niepełnowartościowych [szt.]</t>
  </si>
  <si>
    <t>sprzedanych</t>
  </si>
  <si>
    <t>2. Ewidencja wartościowa obudów niepełnowartościowych [PLN] lub [PLN/szt.]</t>
  </si>
  <si>
    <t>EWIDENCJA MAGAZYNOWA WYROBÓW GOTOWYCH</t>
  </si>
  <si>
    <t>I. EWIDENCJA MAGAZYNOWA WYROBÓW PEŁNOWARTOŚCIOWYCH</t>
  </si>
  <si>
    <t>1. Ewidencja ilościowa  wyrobów pełnowartościowych [szt.]</t>
  </si>
  <si>
    <t>wyrobów na</t>
  </si>
  <si>
    <t>wyr. wydanych</t>
  </si>
  <si>
    <t>do sprzedaży</t>
  </si>
  <si>
    <t>2. Ewidencja wartościowa wyrobów pełnowartościowych [PLN] lub [PLN/szt.]</t>
  </si>
  <si>
    <t>wydanych wyr.</t>
  </si>
  <si>
    <t>1. Ewidencja ilościowa  wyrobów niepełnowartościowych [szt.]</t>
  </si>
  <si>
    <t>2. Ewidencja wartościowa wyrobów niepełnowartościowych [PLN] lub [PLN/szt.]</t>
  </si>
  <si>
    <t>4.1</t>
  </si>
  <si>
    <t>4.2</t>
  </si>
  <si>
    <t>4.3</t>
  </si>
  <si>
    <t>5.A</t>
  </si>
  <si>
    <t>5.B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</si>
  <si>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</si>
  <si>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</si>
  <si>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</si>
  <si>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</si>
  <si>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</si>
  <si>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</si>
  <si>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</si>
  <si>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</si>
  <si>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</si>
  <si>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</si>
  <si>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</si>
  <si>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</si>
  <si>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</si>
  <si>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</si>
  <si>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</si>
  <si>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</si>
  <si>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</si>
  <si>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</si>
  <si>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9.1</t>
  </si>
  <si>
    <t>9.2</t>
  </si>
  <si>
    <t>(7+8+9)</t>
  </si>
  <si>
    <t>KOSZTY PRODUKCJI WYROBÓW (3+4)</t>
  </si>
  <si>
    <t>PRZYKŁAD_5</t>
  </si>
  <si>
    <t xml:space="preserve">               Symbol kursu:</t>
  </si>
  <si>
    <t>Liczba</t>
  </si>
  <si>
    <t>= Liczba</t>
  </si>
  <si>
    <t xml:space="preserve">             Symbol kursu:</t>
  </si>
  <si>
    <t xml:space="preserve">              Symbol kursu:</t>
  </si>
  <si>
    <t>II. EWIDENCJA MAGAZYNOWA WYROBÓW NIEPEŁNOWARTOŚCIOWYCH</t>
  </si>
  <si>
    <t>II. EWIDENCJA MAGAZYNOWA OBUDÓW NIEPEŁNOWARTOŚCIOWYCH</t>
  </si>
  <si>
    <t xml:space="preserve">   Symbol kursu:</t>
  </si>
  <si>
    <t>[PLN/szt]</t>
  </si>
  <si>
    <t>6.Całkowity koszt serwisu [PLN]</t>
  </si>
  <si>
    <t>5.Wybrany rodzaj umowy serwisowej</t>
  </si>
  <si>
    <t>4.Jednostkowy koszt serwisu [PLN/szt.]</t>
  </si>
  <si>
    <t>3.Czas usunięcia awarii [doby]</t>
  </si>
  <si>
    <t>TAK</t>
  </si>
  <si>
    <t>NIE</t>
  </si>
  <si>
    <t>2.Konserwacje i remonty prewencyjne</t>
  </si>
  <si>
    <t>1.Nr umowy serwisowej</t>
  </si>
  <si>
    <t>Serwis maszyn</t>
  </si>
  <si>
    <t>3.Koszt amortyzacji maszyny na każdą sztuke wyrobu [PLN/szt.]</t>
  </si>
  <si>
    <t>2.Wilekośc produkcji w calym okresie życia maszyny [szt.]</t>
  </si>
  <si>
    <t>1.Cena maszyny [PLN]</t>
  </si>
  <si>
    <t>Amortyzacja maszyn</t>
  </si>
  <si>
    <t>4. Normatyw wynagrodzenia[PLN/szt.]</t>
  </si>
  <si>
    <t>3.Wynagrodznie montażysty za godzine pracy [PLN/h]</t>
  </si>
  <si>
    <t>3.Miesięczne wynagrodzenie montażysty [PlN/miesiąc]</t>
  </si>
  <si>
    <t>1.Minimalny czas pracy jednego montażysty, niezbędny do zmontowania 1 szt. Obudowy [h/szt.]</t>
  </si>
  <si>
    <t>II.2.Normatyw wynagrodzeń w drugiej fazie</t>
  </si>
  <si>
    <t>8.Liczba rzeczywiście zatrudnionych montażystów</t>
  </si>
  <si>
    <t>7.Liczba niezbednych montażystów [os.]</t>
  </si>
  <si>
    <t>6.Niezbędny czas pracy montażystów [h]</t>
  </si>
  <si>
    <t>5.Max. produktywnośc jednego montażysty [szt./h]</t>
  </si>
  <si>
    <t>4.Czas pracy w miesiącu [h/miesiąc]</t>
  </si>
  <si>
    <t>3. Liczba tyg odni w miesiącu [tyg./miesiąc]</t>
  </si>
  <si>
    <t>2.Czas pracy w tygodniu [h/tydz.]</t>
  </si>
  <si>
    <t>1.Zadana wielkośc produkcji w drugiej fazie[szt.]</t>
  </si>
  <si>
    <t>II.1.Liczba montażystów w drugiej fazie</t>
  </si>
  <si>
    <t>5. Normatyw wynagrodzenia[PLN/szt.]</t>
  </si>
  <si>
    <t>4.Wynagrodznie operatora maszyny za godzine pracy [PLN/h]</t>
  </si>
  <si>
    <t>3.Miesięczne wynagrodzenia operatora maszyny[PlN/miesiąc]</t>
  </si>
  <si>
    <t>2.Minimalny czas obsługi maszyny przez operatora, niezbedny do wykonania 1 szt. Obudowy [h/szt.]</t>
  </si>
  <si>
    <t>1.Minimalny czas pracy maszyn, niezbędny do wyprodukowania 1 szt. Obudowy [h/szt.]</t>
  </si>
  <si>
    <t>I.3.Normatyw wynagrodzeń w pierwszej fazie</t>
  </si>
  <si>
    <t>5.Liczba rzeczewiście zatrudnionych opertorów</t>
  </si>
  <si>
    <t>4.Koszt szkolenia [zł]</t>
  </si>
  <si>
    <t>4.Liczba niezbedbych operatorów maszyn</t>
  </si>
  <si>
    <t>3. Czy szkolenie się odbywa? [T=1/N=0]</t>
  </si>
  <si>
    <t>3.Niezbedny czas pracy operatorów maszyn [h]</t>
  </si>
  <si>
    <t>2.Liczba pracowników wysłanych na szkolenie [osób.]</t>
  </si>
  <si>
    <t>2.Obsada maszyn [osobogodzina/maszynogodzina]</t>
  </si>
  <si>
    <t>1.Koszt szkolenia jednego montażysty [zl/osob.]</t>
  </si>
  <si>
    <t>1.Czas pracy maszyn niezbedny do zrealizowania produkcji [h]</t>
  </si>
  <si>
    <t>I.2.Liczba niezbednych pracowników w pierwszej fazie</t>
  </si>
  <si>
    <t>Szkolenia pracowników</t>
  </si>
  <si>
    <t>17.Wartośc kary umownej [zł]</t>
  </si>
  <si>
    <t>16.Stawka kary umownej</t>
  </si>
  <si>
    <t>15.Wartośc nowych maszyn [zł]</t>
  </si>
  <si>
    <t>Wartośc sprzedanyc maszun</t>
  </si>
  <si>
    <t>14.Ostateczna liczba nowych maszyn [szt.]</t>
  </si>
  <si>
    <t>Wartość rynkowa maszyn na koniec poprzedniego okresu</t>
  </si>
  <si>
    <t>13.Całkowiata liczba maszyn [szt.]</t>
  </si>
  <si>
    <t>Wartość księgowa maszyn na koniec poprzedniego okresu</t>
  </si>
  <si>
    <t>12.Odesłane maszyny do dostwacy[szt.]</t>
  </si>
  <si>
    <t>11.Dostawa maszyn zamówionych w poprzednik okresie [szt.]</t>
  </si>
  <si>
    <t>czy nowy produkt [t=1,n=0]</t>
  </si>
  <si>
    <t>10. Sprzedaż maszyn [szt.]</t>
  </si>
  <si>
    <t>koszt przezbrojenia maszyn</t>
  </si>
  <si>
    <t>9.Liczba maszyn w poprzednim okresie [szt.]</t>
  </si>
  <si>
    <t>8. Max. Liczba maszyn [szt.]</t>
  </si>
  <si>
    <t>7.Liczba maszyn do zadanej produkcji [szt.]</t>
  </si>
  <si>
    <t>6.Produkcja na 1 maszynie w ciągu miesiąca [szt./miesiąc]</t>
  </si>
  <si>
    <t>6.Całkowity koszt zwolnienia pracowników [zł]</t>
  </si>
  <si>
    <t>5.Max. Wydajności jednej maszyny [szt./h]</t>
  </si>
  <si>
    <t>5. Całkowity koszt zatrudnienia nowych pracowników [zł]</t>
  </si>
  <si>
    <t>4.Liczba zwolnionych pracowników w bieżącym miesiącu [osób.]</t>
  </si>
  <si>
    <t>3.Liczba nowo zatrudnionych pracowników w bieżącym miesiącu [osób.]</t>
  </si>
  <si>
    <t>2.Koszt zwolnienia pracownika [zł/osob.]</t>
  </si>
  <si>
    <t>1.Zadana wielkośc produkcji w pierwszej fazie[szt.]</t>
  </si>
  <si>
    <t>1.Koszt zatrudnienia nowego pracownika [zł/osob.]</t>
  </si>
  <si>
    <t>I.1.Liczba maszyn w pierwszej fazie</t>
  </si>
  <si>
    <t>Zatrudnianie i zwalnianie pracowników</t>
  </si>
  <si>
    <t>Personel i Maszyny</t>
  </si>
  <si>
    <t>Kwota miesięcznej amortyzacji [PLN/m-c]</t>
  </si>
  <si>
    <t>Czas amortyzacji [m-c]</t>
  </si>
  <si>
    <t>Cena [PLN]</t>
  </si>
  <si>
    <t>Budynki</t>
  </si>
  <si>
    <t>Klimatyzacja</t>
  </si>
  <si>
    <t>Automatyczna instalacja p-poż</t>
  </si>
  <si>
    <t>Wytłumienie hałasu</t>
  </si>
  <si>
    <t>Pomieszczenie socjalne</t>
  </si>
  <si>
    <t>Natryski</t>
  </si>
  <si>
    <t>Kwota amortyzacji</t>
  </si>
  <si>
    <t>Czas
amortyzacji
liniowej [m-c]</t>
  </si>
  <si>
    <t>Calkowite koszty utrzymania</t>
  </si>
  <si>
    <t>Kara umowna</t>
  </si>
  <si>
    <t>Zakup [zł]</t>
  </si>
  <si>
    <t>Nowa
dostawa [szt.]</t>
  </si>
  <si>
    <t>Stan w poprzednim miesiącu [szt.]</t>
  </si>
  <si>
    <t>Koszt utrzumania[PLN/m-c]</t>
  </si>
  <si>
    <t>Rodzaj obiektu/urządzenia</t>
  </si>
  <si>
    <t>Urządzenia i obiekty dodatkowe</t>
  </si>
  <si>
    <t>Stawka kary</t>
  </si>
  <si>
    <t>SUMA</t>
  </si>
  <si>
    <t>Stan końcowy środków pieniężnych</t>
  </si>
  <si>
    <t>E.</t>
  </si>
  <si>
    <t>Niedobór pieniądza (kredyt krótkoterminowy)</t>
  </si>
  <si>
    <t>D.</t>
  </si>
  <si>
    <t>Dodatkowe kary umowne</t>
  </si>
  <si>
    <t>36.</t>
  </si>
  <si>
    <t>Zakup elektroniki (Ex)</t>
  </si>
  <si>
    <t>18.</t>
  </si>
  <si>
    <t>Dodatkowe koszty</t>
  </si>
  <si>
    <t>35.</t>
  </si>
  <si>
    <t>Zakup elektroniki (Zw)</t>
  </si>
  <si>
    <t>17.</t>
  </si>
  <si>
    <t>Pozostałe koszty</t>
  </si>
  <si>
    <t>34.</t>
  </si>
  <si>
    <t>Zakup granulatu (Ex)</t>
  </si>
  <si>
    <t>16.</t>
  </si>
  <si>
    <t>Podatek od zysku</t>
  </si>
  <si>
    <t>33.</t>
  </si>
  <si>
    <t>Zakup granulatu (Zw)</t>
  </si>
  <si>
    <t>15.</t>
  </si>
  <si>
    <t>Wypłata dywidendy</t>
  </si>
  <si>
    <t>32.</t>
  </si>
  <si>
    <t>Filtry - kary umowne</t>
  </si>
  <si>
    <t>14.</t>
  </si>
  <si>
    <t>Inne koszty w 2 fazie</t>
  </si>
  <si>
    <t>31.</t>
  </si>
  <si>
    <t>Podatek od zanieczyszczania</t>
  </si>
  <si>
    <t>13.</t>
  </si>
  <si>
    <t>Inne koszty w 1 fazie</t>
  </si>
  <si>
    <t>30.</t>
  </si>
  <si>
    <t>Zakup filtrów</t>
  </si>
  <si>
    <t>12.</t>
  </si>
  <si>
    <t>Odsetki krótkoterminowe</t>
  </si>
  <si>
    <t>29.</t>
  </si>
  <si>
    <t>Urządzenia dodatkowe - kary umowne</t>
  </si>
  <si>
    <t>11.</t>
  </si>
  <si>
    <t>Spłata kredytu krótkoterminowego</t>
  </si>
  <si>
    <t>28.</t>
  </si>
  <si>
    <t>Utrzymanie urządzeń dodatkowych</t>
  </si>
  <si>
    <t>10.</t>
  </si>
  <si>
    <t>Odsetki długoterminowe</t>
  </si>
  <si>
    <t>27.</t>
  </si>
  <si>
    <t>Zakup urządzeń dodatkowych (1-5)</t>
  </si>
  <si>
    <t>9.</t>
  </si>
  <si>
    <t>Spłata kredytu długoterminowego</t>
  </si>
  <si>
    <t>26.</t>
  </si>
  <si>
    <t>Wynagrodzenia bezpośrednie</t>
  </si>
  <si>
    <t>Składowanie poza Spółką</t>
  </si>
  <si>
    <t>25.</t>
  </si>
  <si>
    <t>Szkolenie personelu</t>
  </si>
  <si>
    <t>Transport wyrobów</t>
  </si>
  <si>
    <t>24.</t>
  </si>
  <si>
    <t>Zwolnienie personelu</t>
  </si>
  <si>
    <t>Zmiana produkcji</t>
  </si>
  <si>
    <t>23.</t>
  </si>
  <si>
    <t>Zatrudnienie personelu</t>
  </si>
  <si>
    <t>Płatne raporty</t>
  </si>
  <si>
    <t>22.</t>
  </si>
  <si>
    <t>Maszyny - kary umowne</t>
  </si>
  <si>
    <t>Reklama</t>
  </si>
  <si>
    <t>21.</t>
  </si>
  <si>
    <t>Naprawy maszyn</t>
  </si>
  <si>
    <t>Prace B&amp;R</t>
  </si>
  <si>
    <t>20.</t>
  </si>
  <si>
    <t>Zakup budynków</t>
  </si>
  <si>
    <t>19.</t>
  </si>
  <si>
    <t>Zakup maszyn</t>
  </si>
  <si>
    <t>Wypływ pieniądza ze Spółki</t>
  </si>
  <si>
    <t>C.</t>
  </si>
  <si>
    <t>Dokapitalizowanie Spółki</t>
  </si>
  <si>
    <t>Dodatkowe przychody Spółki</t>
  </si>
  <si>
    <t>Wniesienie wkładów udziałowców</t>
  </si>
  <si>
    <t>Kredyt długoterminowy</t>
  </si>
  <si>
    <t>Sprzedaż maszyn</t>
  </si>
  <si>
    <t>Sprzedaż elektroniki</t>
  </si>
  <si>
    <t>Sprzedaż granulatu</t>
  </si>
  <si>
    <t>Sprzedaż półfabrykatów niepełnowartościowych</t>
  </si>
  <si>
    <t>Sprzedaż wyrobów niepełnowartościowych</t>
  </si>
  <si>
    <t>Sprzedaż wyrobów pełnowartościowych</t>
  </si>
  <si>
    <t>Napływ pieniądza do Spółki</t>
  </si>
  <si>
    <t>B.</t>
  </si>
  <si>
    <t>Stan początkowy środków pieniężnych</t>
  </si>
  <si>
    <t>A.</t>
  </si>
  <si>
    <t>Przepływ środków pieniężnych</t>
  </si>
  <si>
    <t>Suma odsetek do zapłaty w bieżącym miesiącu</t>
  </si>
  <si>
    <t>Wysokość odsetek do zapłaty</t>
  </si>
  <si>
    <t>Stan zadłużenia na koniec poprzedniego miesiąca</t>
  </si>
  <si>
    <t>Oprocentowanie kredytu SKK [roczne]</t>
  </si>
  <si>
    <t>KREDYT KRÓTKOTERMINOWY</t>
  </si>
  <si>
    <t>Wysokość odsetek do zapłaty w bieżącym miesiącu</t>
  </si>
  <si>
    <t>Stan zadłużenia na koniec bieżącego m-ca</t>
  </si>
  <si>
    <t>Wysokość zaciągniętego kredytu w danym miesiącu [PLN]</t>
  </si>
  <si>
    <t>Spłata raty kredytu</t>
  </si>
  <si>
    <t>Maksymalne zadłużenie kredytem MAXKRED [PLN]</t>
  </si>
  <si>
    <t>Oprocentowanie kredytu SKD [roczne]</t>
  </si>
  <si>
    <t>KREDYT DŁUGOTERMINOWY</t>
  </si>
  <si>
    <t>KREDYTY</t>
  </si>
  <si>
    <t>Podatek</t>
  </si>
  <si>
    <t>ZYSK NETTO</t>
  </si>
  <si>
    <t>liczba obodow</t>
  </si>
  <si>
    <t>ilosc zurzytego granulatu</t>
  </si>
  <si>
    <t>cena granulatu</t>
  </si>
  <si>
    <t>wartosc zurzytego granulatu</t>
  </si>
  <si>
    <t>zuzycie jednostkowe granulatu</t>
  </si>
  <si>
    <t>Wartość sprzedanych materiałów</t>
  </si>
  <si>
    <t>4. Amortyzacja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</si>
</sst>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0.0%"/>
  </numFmts>
  <fonts count="33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6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81"/>
      <name val="Tahoma"/>
      <charset val="238"/>
    </font>
    <font>
      <b/>
      <sz val="8"/>
      <color indexed="81"/>
      <name val="Tahoma"/>
      <charset val="238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2"/>
      <color indexed="63"/>
      <name val="Arial CE"/>
      <family val="2"/>
      <charset val="238"/>
    </font>
    <font>
      <sz val="10"/>
      <color indexed="40"/>
      <name val="Arial CE"/>
      <family val="2"/>
      <charset val="238"/>
    </font>
    <font>
      <b/>
      <sz val="12"/>
      <color indexed="63"/>
      <name val="Arial CE"/>
      <charset val="238"/>
    </font>
    <font>
      <sz val="10"/>
      <color indexed="40"/>
      <name val="Arial CE"/>
      <charset val="238"/>
    </font>
    <font>
      <b/>
      <sz val="12"/>
      <color indexed="40"/>
      <name val="Arial CE"/>
      <charset val="238"/>
    </font>
    <font>
      <b/>
      <sz val="10"/>
      <color indexed="40"/>
      <name val="Arial CE"/>
      <charset val="238"/>
    </font>
    <font>
      <b/>
      <sz val="12"/>
      <color indexed="10"/>
      <name val="Arial CE"/>
      <family val="2"/>
      <charset val="238"/>
    </font>
    <font>
      <b/>
      <sz val="12"/>
      <color indexed="10"/>
      <name val="Arial CE"/>
      <charset val="238"/>
    </font>
    <font>
      <b/>
      <sz val="8"/>
      <color indexed="8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10"/>
      <name val="Arial CE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" fontId="7" fillId="0" borderId="0" xfId="0" applyNumberFormat="1" applyFont="1" applyProtection="1"/>
    <xf numFmtId="0" fontId="7" fillId="0" borderId="0" xfId="0" applyNumberFormat="1" applyFont="1" applyProtection="1"/>
    <xf numFmtId="0" fontId="8" fillId="0" borderId="0" xfId="0" applyFont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Protection="1"/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4" fontId="0" fillId="0" borderId="0" xfId="0" applyNumberFormat="1" applyFill="1" applyBorder="1" applyProtection="1"/>
    <xf numFmtId="3" fontId="0" fillId="0" borderId="0" xfId="0" applyNumberFormat="1" applyFill="1" applyBorder="1" applyProtection="1"/>
    <xf numFmtId="0" fontId="0" fillId="0" borderId="0" xfId="0" applyFill="1" applyBorder="1" applyProtection="1"/>
    <xf numFmtId="4" fontId="0" fillId="0" borderId="0" xfId="0" applyNumberForma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/>
    <xf numFmtId="0" fontId="0" fillId="0" borderId="0" xfId="0" applyBorder="1"/>
    <xf numFmtId="0" fontId="0" fillId="0" borderId="0" xfId="0" applyFill="1"/>
    <xf numFmtId="0" fontId="0" fillId="0" borderId="0" xfId="0" applyFill="1" applyBorder="1" applyAlignment="1">
      <alignment horizontal="left"/>
    </xf>
    <xf numFmtId="0" fontId="8" fillId="0" borderId="0" xfId="0" applyFont="1" applyFill="1" applyBorder="1" applyProtection="1"/>
    <xf numFmtId="2" fontId="0" fillId="0" borderId="0" xfId="0" applyNumberFormat="1" applyFill="1" applyBorder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3" fontId="8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vertical="center"/>
    </xf>
    <xf numFmtId="0" fontId="2" fillId="5" borderId="14" xfId="0" applyFont="1" applyFill="1" applyBorder="1" applyAlignment="1" applyProtection="1">
      <alignment vertical="center"/>
    </xf>
    <xf numFmtId="0" fontId="7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/>
    </xf>
    <xf numFmtId="0" fontId="7" fillId="5" borderId="12" xfId="0" applyFont="1" applyFill="1" applyBorder="1" applyAlignment="1" applyProtection="1">
      <alignment horizontal="left" vertical="center"/>
    </xf>
    <xf numFmtId="0" fontId="2" fillId="5" borderId="13" xfId="0" quotePrefix="1" applyFont="1" applyFill="1" applyBorder="1" applyAlignment="1" applyProtection="1">
      <alignment vertical="center"/>
    </xf>
    <xf numFmtId="3" fontId="2" fillId="5" borderId="6" xfId="0" applyNumberFormat="1" applyFont="1" applyFill="1" applyBorder="1" applyAlignment="1" applyProtection="1">
      <alignment vertical="center"/>
    </xf>
    <xf numFmtId="3" fontId="9" fillId="5" borderId="6" xfId="0" applyNumberFormat="1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/>
    </xf>
    <xf numFmtId="0" fontId="2" fillId="5" borderId="9" xfId="0" quotePrefix="1" applyFont="1" applyFill="1" applyBorder="1" applyAlignment="1" applyProtection="1">
      <alignment vertical="center"/>
    </xf>
    <xf numFmtId="3" fontId="2" fillId="5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4" fontId="2" fillId="2" borderId="15" xfId="0" applyNumberFormat="1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5" borderId="13" xfId="0" applyFont="1" applyFill="1" applyBorder="1" applyAlignment="1" applyProtection="1">
      <alignment horizontal="left" vertical="center"/>
    </xf>
    <xf numFmtId="3" fontId="2" fillId="6" borderId="10" xfId="0" applyNumberFormat="1" applyFont="1" applyFill="1" applyBorder="1" applyAlignment="1" applyProtection="1">
      <alignment vertical="center"/>
    </xf>
    <xf numFmtId="3" fontId="2" fillId="5" borderId="14" xfId="0" applyNumberFormat="1" applyFont="1" applyFill="1" applyBorder="1" applyAlignment="1" applyProtection="1">
      <alignment vertical="center"/>
    </xf>
    <xf numFmtId="0" fontId="7" fillId="7" borderId="8" xfId="0" applyFont="1" applyFill="1" applyBorder="1" applyAlignment="1" applyProtection="1">
      <alignment horizontal="left" vertical="center"/>
    </xf>
    <xf numFmtId="0" fontId="2" fillId="7" borderId="9" xfId="0" applyFont="1" applyFill="1" applyBorder="1" applyAlignment="1" applyProtection="1">
      <alignment vertical="center"/>
    </xf>
    <xf numFmtId="0" fontId="2" fillId="7" borderId="10" xfId="0" applyFont="1" applyFill="1" applyBorder="1" applyAlignment="1" applyProtection="1">
      <alignment vertical="center"/>
    </xf>
    <xf numFmtId="3" fontId="2" fillId="7" borderId="10" xfId="0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3" fontId="2" fillId="8" borderId="10" xfId="0" applyNumberFormat="1" applyFont="1" applyFill="1" applyBorder="1" applyAlignment="1" applyProtection="1">
      <alignment vertical="center"/>
    </xf>
    <xf numFmtId="0" fontId="7" fillId="9" borderId="12" xfId="0" applyFont="1" applyFill="1" applyBorder="1" applyAlignment="1" applyProtection="1">
      <alignment horizontal="left" vertical="center"/>
    </xf>
    <xf numFmtId="0" fontId="2" fillId="9" borderId="13" xfId="0" applyFont="1" applyFill="1" applyBorder="1" applyAlignment="1" applyProtection="1">
      <alignment vertical="center"/>
    </xf>
    <xf numFmtId="0" fontId="2" fillId="9" borderId="14" xfId="0" applyFont="1" applyFill="1" applyBorder="1" applyAlignment="1" applyProtection="1">
      <alignment vertical="center"/>
    </xf>
    <xf numFmtId="0" fontId="7" fillId="9" borderId="8" xfId="0" applyFont="1" applyFill="1" applyBorder="1" applyAlignment="1" applyProtection="1">
      <alignment horizontal="left" vertical="center"/>
    </xf>
    <xf numFmtId="0" fontId="2" fillId="9" borderId="9" xfId="0" applyFont="1" applyFill="1" applyBorder="1" applyAlignment="1" applyProtection="1">
      <alignment vertical="center"/>
    </xf>
    <xf numFmtId="0" fontId="2" fillId="9" borderId="1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Alignment="1" applyProtection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3" fontId="18" fillId="4" borderId="20" xfId="0" applyNumberFormat="1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3" fontId="18" fillId="4" borderId="2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18" fillId="4" borderId="2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4" fontId="18" fillId="0" borderId="25" xfId="0" applyNumberFormat="1" applyFont="1" applyFill="1" applyBorder="1" applyAlignment="1">
      <alignment vertical="center"/>
    </xf>
    <xf numFmtId="4" fontId="18" fillId="4" borderId="22" xfId="0" applyNumberFormat="1" applyFont="1" applyFill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4" fontId="18" fillId="4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horizontal="left" vertical="center"/>
    </xf>
    <xf numFmtId="0" fontId="17" fillId="4" borderId="0" xfId="0" applyFont="1" applyFill="1" applyAlignment="1" applyProtection="1">
      <alignment horizontal="left" vertical="center"/>
    </xf>
    <xf numFmtId="0" fontId="18" fillId="0" borderId="1" xfId="0" applyFont="1" applyBorder="1" applyAlignment="1" applyProtection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7" xfId="0" quotePrefix="1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quotePrefix="1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18" fillId="0" borderId="28" xfId="0" quotePrefix="1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30" xfId="0" applyFont="1" applyBorder="1" applyAlignment="1" applyProtection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3" fontId="2" fillId="0" borderId="6" xfId="0" applyNumberFormat="1" applyFont="1" applyBorder="1" applyAlignment="1" applyProtection="1">
      <alignment vertical="center"/>
    </xf>
    <xf numFmtId="0" fontId="0" fillId="0" borderId="33" xfId="0" applyBorder="1" applyAlignment="1">
      <alignment vertical="center"/>
    </xf>
    <xf numFmtId="3" fontId="2" fillId="0" borderId="29" xfId="0" applyNumberFormat="1" applyFont="1" applyBorder="1" applyAlignment="1" applyProtection="1">
      <alignment vertical="center"/>
    </xf>
    <xf numFmtId="3" fontId="18" fillId="0" borderId="14" xfId="0" applyNumberFormat="1" applyFont="1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3" fontId="2" fillId="0" borderId="30" xfId="0" applyNumberFormat="1" applyFont="1" applyBorder="1" applyAlignment="1" applyProtection="1">
      <alignment vertical="center"/>
    </xf>
    <xf numFmtId="0" fontId="0" fillId="0" borderId="34" xfId="0" applyBorder="1" applyAlignment="1">
      <alignment vertical="center"/>
    </xf>
    <xf numFmtId="3" fontId="18" fillId="3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8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8" fillId="0" borderId="29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2" fillId="0" borderId="10" xfId="0" applyNumberFormat="1" applyFont="1" applyBorder="1" applyAlignment="1" applyProtection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8" fillId="0" borderId="10" xfId="0" applyFont="1" applyBorder="1" applyAlignment="1" applyProtection="1">
      <alignment horizontal="center" vertical="center"/>
    </xf>
    <xf numFmtId="0" fontId="18" fillId="0" borderId="31" xfId="0" applyFont="1" applyBorder="1" applyAlignment="1" applyProtection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5" fontId="2" fillId="0" borderId="29" xfId="0" applyNumberFormat="1" applyFont="1" applyBorder="1" applyAlignment="1" applyProtection="1">
      <alignment horizontal="center" vertical="center"/>
    </xf>
    <xf numFmtId="165" fontId="18" fillId="0" borderId="14" xfId="0" applyNumberFormat="1" applyFont="1" applyBorder="1" applyAlignment="1" applyProtection="1">
      <alignment horizontal="center" vertical="center"/>
    </xf>
    <xf numFmtId="165" fontId="2" fillId="0" borderId="30" xfId="0" applyNumberFormat="1" applyFont="1" applyBorder="1" applyAlignment="1" applyProtection="1">
      <alignment horizontal="center" vertical="center"/>
    </xf>
    <xf numFmtId="165" fontId="18" fillId="3" borderId="10" xfId="0" applyNumberFormat="1" applyFont="1" applyFill="1" applyBorder="1" applyAlignment="1" applyProtection="1">
      <alignment vertical="center"/>
    </xf>
    <xf numFmtId="165" fontId="2" fillId="8" borderId="10" xfId="0" applyNumberFormat="1" applyFont="1" applyFill="1" applyBorder="1" applyAlignment="1" applyProtection="1">
      <alignment vertical="center"/>
    </xf>
    <xf numFmtId="3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8" fillId="3" borderId="10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65" fontId="18" fillId="0" borderId="14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18" fillId="3" borderId="1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quotePrefix="1" applyFont="1" applyAlignment="1" applyProtection="1">
      <alignment vertical="center"/>
    </xf>
    <xf numFmtId="0" fontId="0" fillId="0" borderId="35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36" xfId="0" applyBorder="1" applyAlignment="1">
      <alignment vertical="center"/>
    </xf>
    <xf numFmtId="3" fontId="0" fillId="4" borderId="37" xfId="0" applyNumberFormat="1" applyFill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4" fontId="0" fillId="4" borderId="40" xfId="0" applyNumberFormat="1" applyFill="1" applyBorder="1" applyAlignment="1">
      <alignment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8" xfId="0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41" xfId="0" applyFill="1" applyBorder="1" applyAlignment="1">
      <alignment horizontal="left" vertical="center"/>
    </xf>
    <xf numFmtId="3" fontId="2" fillId="10" borderId="6" xfId="0" applyNumberFormat="1" applyFont="1" applyFill="1" applyBorder="1" applyAlignment="1" applyProtection="1">
      <alignment vertical="center"/>
    </xf>
    <xf numFmtId="0" fontId="19" fillId="0" borderId="0" xfId="0" applyFont="1" applyProtection="1"/>
    <xf numFmtId="0" fontId="0" fillId="0" borderId="35" xfId="0" applyBorder="1" applyAlignment="1">
      <alignment vertical="center"/>
    </xf>
    <xf numFmtId="3" fontId="0" fillId="4" borderId="44" xfId="0" applyNumberFormat="1" applyFill="1" applyBorder="1" applyAlignment="1">
      <alignment vertical="center"/>
    </xf>
    <xf numFmtId="0" fontId="0" fillId="0" borderId="38" xfId="0" applyBorder="1" applyAlignment="1">
      <alignment vertical="center"/>
    </xf>
    <xf numFmtId="3" fontId="0" fillId="4" borderId="25" xfId="0" applyNumberForma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23" fillId="0" borderId="0" xfId="0" applyFont="1"/>
    <xf numFmtId="0" fontId="2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vertical="center"/>
    </xf>
    <xf numFmtId="0" fontId="27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20" fillId="0" borderId="0" xfId="0" applyFont="1" applyAlignment="1" applyProtection="1">
      <alignment vertical="center"/>
    </xf>
    <xf numFmtId="4" fontId="2" fillId="2" borderId="7" xfId="0" applyNumberFormat="1" applyFont="1" applyFill="1" applyBorder="1" applyAlignment="1" applyProtection="1">
      <alignment vertical="center"/>
    </xf>
    <xf numFmtId="0" fontId="7" fillId="11" borderId="8" xfId="0" applyFont="1" applyFill="1" applyBorder="1" applyAlignment="1" applyProtection="1">
      <alignment horizontal="left" vertical="center"/>
    </xf>
    <xf numFmtId="0" fontId="2" fillId="11" borderId="9" xfId="0" applyFont="1" applyFill="1" applyBorder="1" applyAlignment="1" applyProtection="1">
      <alignment vertical="center"/>
    </xf>
    <xf numFmtId="0" fontId="2" fillId="11" borderId="10" xfId="0" applyFont="1" applyFill="1" applyBorder="1" applyAlignment="1" applyProtection="1">
      <alignment vertical="center"/>
    </xf>
    <xf numFmtId="3" fontId="2" fillId="11" borderId="10" xfId="0" applyNumberFormat="1" applyFont="1" applyFill="1" applyBorder="1" applyAlignment="1" applyProtection="1">
      <alignment vertical="center"/>
    </xf>
    <xf numFmtId="0" fontId="4" fillId="4" borderId="0" xfId="0" applyFont="1" applyFill="1" applyAlignment="1" applyProtection="1">
      <alignment horizontal="left" vertical="center"/>
    </xf>
    <xf numFmtId="0" fontId="3" fillId="4" borderId="0" xfId="0" applyFont="1" applyFill="1" applyAlignment="1" applyProtection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0" xfId="0" applyFont="1" applyFill="1" applyAlignment="1">
      <alignment vertical="center"/>
    </xf>
    <xf numFmtId="0" fontId="18" fillId="12" borderId="8" xfId="0" applyFont="1" applyFill="1" applyBorder="1" applyAlignment="1" applyProtection="1">
      <alignment horizontal="center" vertical="center"/>
    </xf>
    <xf numFmtId="0" fontId="0" fillId="12" borderId="0" xfId="0" applyFill="1" applyAlignment="1">
      <alignment vertical="center"/>
    </xf>
    <xf numFmtId="3" fontId="2" fillId="12" borderId="31" xfId="0" applyNumberFormat="1" applyFont="1" applyFill="1" applyBorder="1" applyAlignment="1" applyProtection="1">
      <alignment vertical="center"/>
    </xf>
    <xf numFmtId="3" fontId="0" fillId="12" borderId="31" xfId="0" applyNumberFormat="1" applyFill="1" applyBorder="1" applyAlignment="1" applyProtection="1">
      <alignment vertical="center"/>
      <protection locked="0"/>
    </xf>
    <xf numFmtId="0" fontId="0" fillId="12" borderId="31" xfId="0" applyFill="1" applyBorder="1" applyAlignment="1">
      <alignment vertical="center"/>
    </xf>
    <xf numFmtId="165" fontId="2" fillId="12" borderId="31" xfId="0" applyNumberFormat="1" applyFont="1" applyFill="1" applyBorder="1" applyAlignment="1" applyProtection="1">
      <alignment vertical="center"/>
    </xf>
    <xf numFmtId="3" fontId="2" fillId="12" borderId="32" xfId="0" applyNumberFormat="1" applyFont="1" applyFill="1" applyBorder="1" applyAlignment="1" applyProtection="1">
      <alignment vertical="center"/>
    </xf>
    <xf numFmtId="165" fontId="2" fillId="12" borderId="10" xfId="0" applyNumberFormat="1" applyFont="1" applyFill="1" applyBorder="1" applyAlignment="1" applyProtection="1">
      <alignment vertical="center"/>
    </xf>
    <xf numFmtId="165" fontId="2" fillId="12" borderId="14" xfId="0" applyNumberFormat="1" applyFont="1" applyFill="1" applyBorder="1" applyAlignment="1" applyProtection="1">
      <alignment vertical="center"/>
    </xf>
    <xf numFmtId="165" fontId="2" fillId="12" borderId="32" xfId="0" applyNumberFormat="1" applyFont="1" applyFill="1" applyBorder="1" applyAlignment="1" applyProtection="1">
      <alignment vertical="center"/>
    </xf>
    <xf numFmtId="0" fontId="18" fillId="12" borderId="8" xfId="0" applyFont="1" applyFill="1" applyBorder="1" applyAlignment="1">
      <alignment horizontal="center" vertical="center"/>
    </xf>
    <xf numFmtId="3" fontId="2" fillId="12" borderId="10" xfId="0" applyNumberFormat="1" applyFont="1" applyFill="1" applyBorder="1" applyAlignment="1">
      <alignment vertical="center"/>
    </xf>
    <xf numFmtId="3" fontId="0" fillId="12" borderId="10" xfId="0" applyNumberFormat="1" applyFill="1" applyBorder="1" applyAlignment="1" applyProtection="1">
      <alignment vertical="center"/>
      <protection locked="0" hidden="1"/>
    </xf>
    <xf numFmtId="3" fontId="2" fillId="12" borderId="11" xfId="0" applyNumberFormat="1" applyFont="1" applyFill="1" applyBorder="1" applyAlignment="1">
      <alignment vertical="center"/>
    </xf>
    <xf numFmtId="165" fontId="2" fillId="12" borderId="10" xfId="0" applyNumberFormat="1" applyFont="1" applyFill="1" applyBorder="1" applyAlignment="1">
      <alignment vertical="center"/>
    </xf>
    <xf numFmtId="165" fontId="2" fillId="12" borderId="14" xfId="0" applyNumberFormat="1" applyFont="1" applyFill="1" applyBorder="1" applyAlignment="1">
      <alignment vertical="center"/>
    </xf>
    <xf numFmtId="165" fontId="2" fillId="12" borderId="11" xfId="0" applyNumberFormat="1" applyFont="1" applyFill="1" applyBorder="1" applyAlignment="1">
      <alignment vertical="center"/>
    </xf>
    <xf numFmtId="4" fontId="0" fillId="12" borderId="45" xfId="0" applyNumberFormat="1" applyFill="1" applyBorder="1" applyAlignment="1">
      <alignment vertical="center"/>
    </xf>
    <xf numFmtId="3" fontId="0" fillId="12" borderId="40" xfId="0" applyNumberFormat="1" applyFill="1" applyBorder="1" applyAlignment="1">
      <alignment vertical="center"/>
    </xf>
    <xf numFmtId="3" fontId="2" fillId="12" borderId="10" xfId="0" applyNumberFormat="1" applyFont="1" applyFill="1" applyBorder="1" applyAlignment="1" applyProtection="1">
      <alignment vertical="center"/>
    </xf>
    <xf numFmtId="2" fontId="0" fillId="12" borderId="31" xfId="0" applyNumberFormat="1" applyFill="1" applyBorder="1" applyAlignment="1">
      <alignment vertical="center"/>
    </xf>
    <xf numFmtId="164" fontId="2" fillId="12" borderId="31" xfId="0" applyNumberFormat="1" applyFont="1" applyFill="1" applyBorder="1" applyAlignment="1" applyProtection="1">
      <alignment vertical="center"/>
    </xf>
    <xf numFmtId="0" fontId="0" fillId="12" borderId="0" xfId="0" applyFill="1"/>
    <xf numFmtId="4" fontId="2" fillId="12" borderId="31" xfId="0" applyNumberFormat="1" applyFont="1" applyFill="1" applyBorder="1" applyAlignment="1" applyProtection="1">
      <alignment vertical="center"/>
    </xf>
    <xf numFmtId="4" fontId="2" fillId="12" borderId="15" xfId="0" applyNumberFormat="1" applyFont="1" applyFill="1" applyBorder="1" applyAlignment="1" applyProtection="1">
      <alignment vertical="center"/>
    </xf>
    <xf numFmtId="164" fontId="2" fillId="12" borderId="14" xfId="0" applyNumberFormat="1" applyFont="1" applyFill="1" applyBorder="1" applyAlignment="1" applyProtection="1">
      <alignment vertical="center"/>
    </xf>
    <xf numFmtId="164" fontId="2" fillId="12" borderId="10" xfId="0" applyNumberFormat="1" applyFont="1" applyFill="1" applyBorder="1" applyAlignment="1" applyProtection="1">
      <alignment vertical="center"/>
    </xf>
    <xf numFmtId="4" fontId="2" fillId="12" borderId="11" xfId="0" applyNumberFormat="1" applyFont="1" applyFill="1" applyBorder="1" applyAlignment="1" applyProtection="1">
      <alignment vertical="center"/>
    </xf>
    <xf numFmtId="3" fontId="2" fillId="12" borderId="14" xfId="0" applyNumberFormat="1" applyFont="1" applyFill="1" applyBorder="1" applyAlignment="1" applyProtection="1">
      <alignment vertical="center"/>
    </xf>
    <xf numFmtId="4" fontId="2" fillId="12" borderId="46" xfId="0" applyNumberFormat="1" applyFont="1" applyFill="1" applyBorder="1" applyAlignment="1" applyProtection="1">
      <alignment vertical="center"/>
    </xf>
    <xf numFmtId="3" fontId="0" fillId="12" borderId="25" xfId="0" applyNumberFormat="1" applyFill="1" applyBorder="1" applyAlignment="1">
      <alignment vertical="center"/>
    </xf>
    <xf numFmtId="3" fontId="0" fillId="12" borderId="47" xfId="0" applyNumberFormat="1" applyFill="1" applyBorder="1" applyAlignment="1">
      <alignment vertical="center"/>
    </xf>
    <xf numFmtId="3" fontId="0" fillId="12" borderId="18" xfId="0" applyNumberFormat="1" applyFill="1" applyBorder="1" applyAlignment="1">
      <alignment vertical="center"/>
    </xf>
    <xf numFmtId="4" fontId="0" fillId="12" borderId="15" xfId="0" applyNumberFormat="1" applyFont="1" applyFill="1" applyBorder="1" applyAlignment="1" applyProtection="1">
      <alignment vertical="center"/>
    </xf>
    <xf numFmtId="3" fontId="0" fillId="11" borderId="48" xfId="0" applyNumberFormat="1" applyFill="1" applyBorder="1"/>
    <xf numFmtId="0" fontId="0" fillId="13" borderId="24" xfId="0" applyFill="1" applyBorder="1"/>
    <xf numFmtId="0" fontId="0" fillId="13" borderId="49" xfId="0" applyFill="1" applyBorder="1"/>
    <xf numFmtId="0" fontId="0" fillId="4" borderId="48" xfId="0" applyFill="1" applyBorder="1"/>
    <xf numFmtId="3" fontId="0" fillId="12" borderId="39" xfId="0" applyNumberFormat="1" applyFill="1" applyBorder="1"/>
    <xf numFmtId="3" fontId="0" fillId="12" borderId="48" xfId="0" applyNumberFormat="1" applyFill="1" applyBorder="1"/>
    <xf numFmtId="3" fontId="0" fillId="12" borderId="24" xfId="0" applyNumberFormat="1" applyFill="1" applyBorder="1"/>
    <xf numFmtId="0" fontId="0" fillId="13" borderId="48" xfId="0" applyFill="1" applyBorder="1"/>
    <xf numFmtId="0" fontId="0" fillId="12" borderId="39" xfId="0" applyFill="1" applyBorder="1"/>
    <xf numFmtId="0" fontId="0" fillId="12" borderId="48" xfId="0" applyFill="1" applyBorder="1"/>
    <xf numFmtId="0" fontId="0" fillId="12" borderId="24" xfId="0" applyFill="1" applyBorder="1"/>
    <xf numFmtId="0" fontId="0" fillId="12" borderId="39" xfId="0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6" fillId="0" borderId="0" xfId="0" applyFont="1"/>
    <xf numFmtId="0" fontId="0" fillId="0" borderId="48" xfId="0" applyFill="1" applyBorder="1"/>
    <xf numFmtId="0" fontId="0" fillId="0" borderId="49" xfId="0" applyFill="1" applyBorder="1"/>
    <xf numFmtId="1" fontId="0" fillId="4" borderId="48" xfId="0" applyNumberFormat="1" applyFill="1" applyBorder="1"/>
    <xf numFmtId="1" fontId="0" fillId="12" borderId="48" xfId="0" applyNumberFormat="1" applyFill="1" applyBorder="1"/>
    <xf numFmtId="0" fontId="0" fillId="0" borderId="48" xfId="0" applyBorder="1"/>
    <xf numFmtId="0" fontId="0" fillId="0" borderId="49" xfId="0" applyBorder="1"/>
    <xf numFmtId="0" fontId="0" fillId="0" borderId="0" xfId="0" applyFill="1" applyBorder="1" applyAlignment="1">
      <alignment horizontal="right"/>
    </xf>
    <xf numFmtId="0" fontId="0" fillId="12" borderId="48" xfId="0" applyFill="1" applyBorder="1" applyAlignment="1">
      <alignment horizontal="right"/>
    </xf>
    <xf numFmtId="9" fontId="0" fillId="12" borderId="48" xfId="0" applyNumberFormat="1" applyFill="1" applyBorder="1" applyAlignment="1">
      <alignment horizontal="right"/>
    </xf>
    <xf numFmtId="0" fontId="1" fillId="0" borderId="0" xfId="0" applyFont="1"/>
    <xf numFmtId="0" fontId="15" fillId="8" borderId="0" xfId="0" applyFont="1" applyFill="1" applyAlignment="1">
      <alignment horizontal="left" vertical="center"/>
    </xf>
    <xf numFmtId="0" fontId="0" fillId="8" borderId="0" xfId="0" applyFill="1" applyAlignment="1">
      <alignment vertical="center"/>
    </xf>
    <xf numFmtId="0" fontId="0" fillId="13" borderId="14" xfId="0" applyFill="1" applyBorder="1"/>
    <xf numFmtId="0" fontId="0" fillId="13" borderId="13" xfId="0" applyFill="1" applyBorder="1"/>
    <xf numFmtId="0" fontId="0" fillId="13" borderId="50" xfId="0" applyFill="1" applyBorder="1"/>
    <xf numFmtId="0" fontId="0" fillId="13" borderId="51" xfId="0" applyFill="1" applyBorder="1"/>
    <xf numFmtId="0" fontId="0" fillId="13" borderId="39" xfId="0" applyFill="1" applyBorder="1"/>
    <xf numFmtId="0" fontId="0" fillId="13" borderId="52" xfId="0" applyFill="1" applyBorder="1"/>
    <xf numFmtId="0" fontId="0" fillId="13" borderId="53" xfId="0" applyFill="1" applyBorder="1"/>
    <xf numFmtId="0" fontId="0" fillId="13" borderId="54" xfId="0" applyFill="1" applyBorder="1"/>
    <xf numFmtId="0" fontId="0" fillId="13" borderId="55" xfId="0" applyFill="1" applyBorder="1"/>
    <xf numFmtId="0" fontId="2" fillId="0" borderId="0" xfId="0" applyFont="1"/>
    <xf numFmtId="3" fontId="30" fillId="12" borderId="48" xfId="0" applyNumberFormat="1" applyFont="1" applyFill="1" applyBorder="1"/>
    <xf numFmtId="0" fontId="30" fillId="0" borderId="0" xfId="0" applyFont="1"/>
    <xf numFmtId="3" fontId="30" fillId="12" borderId="51" xfId="0" applyNumberFormat="1" applyFont="1" applyFill="1" applyBorder="1"/>
    <xf numFmtId="0" fontId="30" fillId="4" borderId="48" xfId="0" applyFont="1" applyFill="1" applyBorder="1"/>
    <xf numFmtId="0" fontId="30" fillId="12" borderId="48" xfId="0" applyFont="1" applyFill="1" applyBorder="1"/>
    <xf numFmtId="0" fontId="30" fillId="13" borderId="24" xfId="0" applyFont="1" applyFill="1" applyBorder="1"/>
    <xf numFmtId="0" fontId="30" fillId="13" borderId="48" xfId="0" applyFont="1" applyFill="1" applyBorder="1"/>
    <xf numFmtId="0" fontId="30" fillId="13" borderId="51" xfId="0" applyFont="1" applyFill="1" applyBorder="1"/>
    <xf numFmtId="0" fontId="30" fillId="13" borderId="29" xfId="0" applyFont="1" applyFill="1" applyBorder="1"/>
    <xf numFmtId="0" fontId="30" fillId="13" borderId="55" xfId="0" applyFont="1" applyFill="1" applyBorder="1"/>
    <xf numFmtId="0" fontId="30" fillId="13" borderId="39" xfId="0" applyNumberFormat="1" applyFont="1" applyFill="1" applyBorder="1" applyAlignment="1">
      <alignment horizontal="center" vertical="center" wrapText="1"/>
    </xf>
    <xf numFmtId="0" fontId="30" fillId="13" borderId="48" xfId="0" applyNumberFormat="1" applyFont="1" applyFill="1" applyBorder="1" applyAlignment="1">
      <alignment horizontal="center" vertical="center" wrapText="1"/>
    </xf>
    <xf numFmtId="0" fontId="30" fillId="13" borderId="24" xfId="0" applyNumberFormat="1" applyFont="1" applyFill="1" applyBorder="1" applyAlignment="1">
      <alignment horizontal="center" vertical="center" wrapText="1"/>
    </xf>
    <xf numFmtId="0" fontId="30" fillId="13" borderId="48" xfId="0" applyNumberFormat="1" applyFont="1" applyFill="1" applyBorder="1" applyAlignment="1">
      <alignment horizontal="center" vertical="center" wrapText="1" shrinkToFit="1"/>
    </xf>
    <xf numFmtId="0" fontId="30" fillId="13" borderId="48" xfId="0" applyNumberFormat="1" applyFont="1" applyFill="1" applyBorder="1" applyAlignment="1">
      <alignment horizontal="center" vertical="center"/>
    </xf>
    <xf numFmtId="0" fontId="30" fillId="13" borderId="24" xfId="0" applyNumberFormat="1" applyFont="1" applyFill="1" applyBorder="1" applyAlignment="1">
      <alignment vertical="center"/>
    </xf>
    <xf numFmtId="0" fontId="30" fillId="13" borderId="48" xfId="0" applyNumberFormat="1" applyFont="1" applyFill="1" applyBorder="1" applyAlignment="1">
      <alignment vertical="center"/>
    </xf>
    <xf numFmtId="9" fontId="0" fillId="0" borderId="0" xfId="0" applyNumberFormat="1"/>
    <xf numFmtId="166" fontId="0" fillId="4" borderId="0" xfId="0" applyNumberFormat="1" applyFill="1"/>
    <xf numFmtId="3" fontId="30" fillId="12" borderId="29" xfId="0" applyNumberFormat="1" applyFont="1" applyFill="1" applyBorder="1"/>
    <xf numFmtId="0" fontId="30" fillId="12" borderId="29" xfId="0" applyFont="1" applyFill="1" applyBorder="1"/>
    <xf numFmtId="3" fontId="30" fillId="12" borderId="55" xfId="0" applyNumberFormat="1" applyFont="1" applyFill="1" applyBorder="1"/>
    <xf numFmtId="3" fontId="30" fillId="12" borderId="56" xfId="0" applyNumberFormat="1" applyFont="1" applyFill="1" applyBorder="1"/>
    <xf numFmtId="3" fontId="30" fillId="12" borderId="57" xfId="0" applyNumberFormat="1" applyFont="1" applyFill="1" applyBorder="1"/>
    <xf numFmtId="0" fontId="30" fillId="0" borderId="17" xfId="0" applyFont="1" applyBorder="1"/>
    <xf numFmtId="3" fontId="30" fillId="12" borderId="46" xfId="0" applyNumberFormat="1" applyFont="1" applyFill="1" applyBorder="1"/>
    <xf numFmtId="3" fontId="1" fillId="14" borderId="48" xfId="0" applyNumberFormat="1" applyFont="1" applyFill="1" applyBorder="1"/>
    <xf numFmtId="0" fontId="1" fillId="14" borderId="24" xfId="0" applyFont="1" applyFill="1" applyBorder="1"/>
    <xf numFmtId="3" fontId="2" fillId="12" borderId="48" xfId="0" applyNumberFormat="1" applyFont="1" applyFill="1" applyBorder="1"/>
    <xf numFmtId="0" fontId="0" fillId="13" borderId="48" xfId="0" applyFill="1" applyBorder="1" applyAlignment="1">
      <alignment horizontal="right"/>
    </xf>
    <xf numFmtId="3" fontId="2" fillId="4" borderId="48" xfId="0" applyNumberFormat="1" applyFont="1" applyFill="1" applyBorder="1"/>
    <xf numFmtId="3" fontId="1" fillId="12" borderId="48" xfId="0" applyNumberFormat="1" applyFont="1" applyFill="1" applyBorder="1"/>
    <xf numFmtId="3" fontId="0" fillId="0" borderId="0" xfId="0" applyNumberFormat="1"/>
    <xf numFmtId="3" fontId="1" fillId="0" borderId="0" xfId="0" applyNumberFormat="1" applyFont="1"/>
    <xf numFmtId="3" fontId="1" fillId="4" borderId="48" xfId="0" applyNumberFormat="1" applyFont="1" applyFill="1" applyBorder="1"/>
    <xf numFmtId="3" fontId="0" fillId="4" borderId="48" xfId="0" applyNumberFormat="1" applyFill="1" applyBorder="1"/>
    <xf numFmtId="9" fontId="0" fillId="12" borderId="48" xfId="1" applyFont="1" applyFill="1" applyBorder="1"/>
    <xf numFmtId="0" fontId="0" fillId="15" borderId="0" xfId="0" applyFill="1"/>
    <xf numFmtId="0" fontId="0" fillId="15" borderId="48" xfId="0" applyFill="1" applyBorder="1"/>
    <xf numFmtId="0" fontId="1" fillId="15" borderId="48" xfId="0" applyFont="1" applyFill="1" applyBorder="1"/>
    <xf numFmtId="0" fontId="6" fillId="15" borderId="0" xfId="0" applyFont="1" applyFill="1"/>
    <xf numFmtId="0" fontId="16" fillId="16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1" fillId="15" borderId="0" xfId="0" applyFont="1" applyFill="1"/>
    <xf numFmtId="0" fontId="1" fillId="17" borderId="49" xfId="0" applyFont="1" applyFill="1" applyBorder="1"/>
    <xf numFmtId="0" fontId="1" fillId="17" borderId="24" xfId="0" applyFont="1" applyFill="1" applyBorder="1"/>
    <xf numFmtId="0" fontId="1" fillId="17" borderId="39" xfId="0" applyFont="1" applyFill="1" applyBorder="1"/>
    <xf numFmtId="0" fontId="1" fillId="18" borderId="48" xfId="0" applyFont="1" applyFill="1" applyBorder="1" applyAlignment="1">
      <alignment horizontal="right"/>
    </xf>
    <xf numFmtId="0" fontId="1" fillId="18" borderId="24" xfId="0" applyFont="1" applyFill="1" applyBorder="1"/>
    <xf numFmtId="0" fontId="1" fillId="15" borderId="48" xfId="0" applyFont="1" applyFill="1" applyBorder="1" applyAlignment="1">
      <alignment horizontal="right"/>
    </xf>
    <xf numFmtId="0" fontId="1" fillId="15" borderId="49" xfId="0" applyFont="1" applyFill="1" applyBorder="1"/>
    <xf numFmtId="0" fontId="1" fillId="15" borderId="24" xfId="0" applyFont="1" applyFill="1" applyBorder="1"/>
    <xf numFmtId="0" fontId="1" fillId="15" borderId="39" xfId="0" applyFont="1" applyFill="1" applyBorder="1"/>
    <xf numFmtId="0" fontId="1" fillId="16" borderId="48" xfId="0" applyFont="1" applyFill="1" applyBorder="1" applyAlignment="1">
      <alignment horizontal="right"/>
    </xf>
    <xf numFmtId="0" fontId="1" fillId="16" borderId="24" xfId="0" applyFont="1" applyFill="1" applyBorder="1"/>
    <xf numFmtId="0" fontId="0" fillId="18" borderId="0" xfId="0" applyFill="1"/>
    <xf numFmtId="0" fontId="1" fillId="19" borderId="48" xfId="0" applyFont="1" applyFill="1" applyBorder="1" applyAlignment="1">
      <alignment horizontal="right"/>
    </xf>
    <xf numFmtId="0" fontId="1" fillId="19" borderId="24" xfId="0" applyFont="1" applyFill="1" applyBorder="1"/>
    <xf numFmtId="0" fontId="1" fillId="20" borderId="48" xfId="0" applyFont="1" applyFill="1" applyBorder="1" applyAlignment="1">
      <alignment horizontal="right"/>
    </xf>
    <xf numFmtId="0" fontId="1" fillId="20" borderId="24" xfId="0" applyFont="1" applyFill="1" applyBorder="1"/>
    <xf numFmtId="3" fontId="1" fillId="20" borderId="48" xfId="0" applyNumberFormat="1" applyFont="1" applyFill="1" applyBorder="1"/>
    <xf numFmtId="0" fontId="32" fillId="12" borderId="0" xfId="0" applyFont="1" applyFill="1"/>
    <xf numFmtId="9" fontId="0" fillId="12" borderId="0" xfId="0" applyNumberFormat="1" applyFill="1"/>
    <xf numFmtId="9" fontId="0" fillId="0" borderId="0" xfId="0" applyNumberFormat="1" applyAlignment="1">
      <alignment vertical="center"/>
    </xf>
    <xf numFmtId="3" fontId="0" fillId="12" borderId="48" xfId="0" applyNumberFormat="1" applyFont="1" applyFill="1" applyBorder="1"/>
    <xf numFmtId="0" fontId="0" fillId="0" borderId="0" xfId="0" applyAlignment="1">
      <alignment horizontal="left" vertical="center"/>
    </xf>
    <xf numFmtId="0" fontId="0" fillId="12" borderId="0" xfId="0" applyFill="1" applyAlignment="1" applyProtection="1">
      <alignment vertical="center"/>
    </xf>
    <xf numFmtId="3" fontId="2" fillId="12" borderId="10" xfId="0" applyNumberFormat="1" applyFont="1" applyFill="1" applyBorder="1" applyAlignment="1">
      <alignment vertical="center"/>
    </xf>
    <xf numFmtId="165" fontId="2" fillId="12" borderId="10" xfId="0" applyNumberFormat="1" applyFont="1" applyFill="1" applyBorder="1" applyAlignment="1" applyProtection="1">
      <alignment vertical="center"/>
    </xf>
    <xf numFmtId="0" fontId="0" fillId="21" borderId="0" xfId="0" applyFill="1" applyProtection="1">
      <protection locked="0"/>
    </xf>
    <xf numFmtId="0" fontId="0" fillId="12" borderId="48" xfId="0" applyFill="1" applyBorder="1"/>
    <xf numFmtId="3" fontId="0" fillId="0" borderId="0" xfId="0" applyNumberFormat="1" applyProtection="1">
      <protection locked="0"/>
    </xf>
    <xf numFmtId="165" fontId="0" fillId="12" borderId="32" xfId="0" applyNumberFormat="1" applyFill="1" applyBorder="1" applyAlignment="1" applyProtection="1">
      <alignment vertical="center"/>
    </xf>
    <xf numFmtId="0" fontId="5" fillId="0" borderId="0" xfId="0" applyFont="1" applyAlignment="1"/>
    <xf numFmtId="0" fontId="0" fillId="12" borderId="0" xfId="0" applyFill="1"/>
    <xf numFmtId="4" fontId="0" fillId="13" borderId="0" xfId="0" applyNumberFormat="1" applyFill="1" applyBorder="1" applyProtection="1"/>
    <xf numFmtId="0" fontId="7" fillId="13" borderId="0" xfId="0" applyFont="1" applyFill="1" applyProtection="1"/>
    <xf numFmtId="0" fontId="0" fillId="13" borderId="0" xfId="0" applyFill="1"/>
    <xf numFmtId="164" fontId="2" fillId="4" borderId="14" xfId="0" applyNumberFormat="1" applyFont="1" applyFill="1" applyBorder="1" applyAlignment="1" applyProtection="1">
      <alignment vertical="center"/>
    </xf>
    <xf numFmtId="4" fontId="2" fillId="4" borderId="15" xfId="0" applyNumberFormat="1" applyFont="1" applyFill="1" applyBorder="1" applyAlignment="1" applyProtection="1">
      <alignment vertical="center"/>
    </xf>
    <xf numFmtId="3" fontId="2" fillId="4" borderId="14" xfId="0" applyNumberFormat="1" applyFont="1" applyFill="1" applyBorder="1" applyAlignment="1" applyProtection="1">
      <alignment vertical="center"/>
    </xf>
    <xf numFmtId="3" fontId="2" fillId="4" borderId="6" xfId="0" applyNumberFormat="1" applyFont="1" applyFill="1" applyBorder="1" applyAlignment="1" applyProtection="1">
      <alignment vertical="center"/>
    </xf>
    <xf numFmtId="3" fontId="2" fillId="4" borderId="10" xfId="0" applyNumberFormat="1" applyFont="1" applyFill="1" applyBorder="1" applyAlignment="1" applyProtection="1">
      <alignment vertical="center"/>
    </xf>
    <xf numFmtId="3" fontId="2" fillId="4" borderId="31" xfId="0" applyNumberFormat="1" applyFont="1" applyFill="1" applyBorder="1" applyAlignment="1" applyProtection="1">
      <alignment vertical="center"/>
      <protection locked="0"/>
    </xf>
    <xf numFmtId="3" fontId="2" fillId="4" borderId="14" xfId="0" applyNumberFormat="1" applyFont="1" applyFill="1" applyBorder="1" applyAlignment="1" applyProtection="1">
      <alignment vertical="center"/>
      <protection locked="0"/>
    </xf>
    <xf numFmtId="165" fontId="2" fillId="4" borderId="10" xfId="0" applyNumberFormat="1" applyFont="1" applyFill="1" applyBorder="1" applyAlignment="1" applyProtection="1">
      <alignment vertical="center"/>
    </xf>
    <xf numFmtId="3" fontId="2" fillId="4" borderId="10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 applyProtection="1">
      <alignment vertical="center"/>
      <protection locked="0" hidden="1"/>
    </xf>
    <xf numFmtId="3" fontId="2" fillId="4" borderId="14" xfId="0" applyNumberFormat="1" applyFont="1" applyFill="1" applyBorder="1" applyAlignment="1" applyProtection="1">
      <alignment vertical="center"/>
      <protection locked="0" hidden="1"/>
    </xf>
    <xf numFmtId="165" fontId="2" fillId="4" borderId="1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 applyProtection="1">
      <alignment vertical="center"/>
    </xf>
    <xf numFmtId="3" fontId="2" fillId="4" borderId="10" xfId="0" applyNumberFormat="1" applyFont="1" applyFill="1" applyBorder="1" applyAlignment="1" applyProtection="1">
      <alignment vertical="center"/>
      <protection locked="0"/>
    </xf>
    <xf numFmtId="165" fontId="2" fillId="4" borderId="10" xfId="0" applyNumberFormat="1" applyFont="1" applyFill="1" applyBorder="1" applyAlignment="1" applyProtection="1">
      <alignment vertical="center"/>
      <protection locked="0"/>
    </xf>
    <xf numFmtId="3" fontId="0" fillId="4" borderId="40" xfId="0" applyNumberFormat="1" applyFill="1" applyBorder="1" applyAlignment="1">
      <alignment vertical="center"/>
    </xf>
    <xf numFmtId="3" fontId="0" fillId="4" borderId="58" xfId="0" applyNumberFormat="1" applyFill="1" applyBorder="1" applyAlignment="1">
      <alignment vertical="center"/>
    </xf>
    <xf numFmtId="0" fontId="0" fillId="4" borderId="48" xfId="0" applyFill="1" applyBorder="1"/>
    <xf numFmtId="3" fontId="0" fillId="4" borderId="48" xfId="0" applyNumberFormat="1" applyFill="1" applyBorder="1"/>
    <xf numFmtId="0" fontId="30" fillId="4" borderId="0" xfId="0" applyFont="1" applyFill="1"/>
    <xf numFmtId="0" fontId="0" fillId="0" borderId="59" xfId="0" applyBorder="1" applyAlignment="1" applyProtection="1"/>
    <xf numFmtId="0" fontId="0" fillId="0" borderId="0" xfId="0" applyAlignment="1"/>
    <xf numFmtId="0" fontId="0" fillId="0" borderId="59" xfId="0" applyBorder="1" applyAlignment="1"/>
    <xf numFmtId="1" fontId="5" fillId="12" borderId="0" xfId="0" applyNumberFormat="1" applyFont="1" applyFill="1" applyAlignment="1">
      <alignment horizontal="right" vertical="center"/>
    </xf>
    <xf numFmtId="1" fontId="0" fillId="0" borderId="0" xfId="0" applyNumberFormat="1" applyAlignment="1">
      <alignment horizontal="right" vertical="center"/>
    </xf>
  </cellXfs>
  <cellStyles count="2">
    <cellStyle name="Normalny" xfId="0" builtinId="0"/>
    <cellStyle name="Procentowy" xfId="1" builtinId="5"/>
  </cellStyles>
  <dxfs count="7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18</xdr:row>
      <xdr:rowOff>0</xdr:rowOff>
    </xdr:from>
    <xdr:to>
      <xdr:col>4</xdr:col>
      <xdr:colOff>266700</xdr:colOff>
      <xdr:row>19</xdr:row>
      <xdr:rowOff>0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 flipV="1">
          <a:off x="4181475" y="30480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285750</xdr:colOff>
      <xdr:row>26</xdr:row>
      <xdr:rowOff>161925</xdr:rowOff>
    </xdr:from>
    <xdr:to>
      <xdr:col>4</xdr:col>
      <xdr:colOff>285750</xdr:colOff>
      <xdr:row>27</xdr:row>
      <xdr:rowOff>161925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 flipV="1">
          <a:off x="4200525" y="45053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85725</xdr:colOff>
      <xdr:row>8</xdr:row>
      <xdr:rowOff>133350</xdr:rowOff>
    </xdr:from>
    <xdr:to>
      <xdr:col>4</xdr:col>
      <xdr:colOff>85725</xdr:colOff>
      <xdr:row>12</xdr:row>
      <xdr:rowOff>19050</xdr:rowOff>
    </xdr:to>
    <xdr:sp macro="" textlink="">
      <xdr:nvSpPr>
        <xdr:cNvPr id="1338" name="Line 6"/>
        <xdr:cNvSpPr>
          <a:spLocks noChangeShapeType="1"/>
        </xdr:cNvSpPr>
      </xdr:nvSpPr>
      <xdr:spPr bwMode="auto">
        <a:xfrm flipV="1">
          <a:off x="4000500" y="15621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266700</xdr:colOff>
      <xdr:row>18</xdr:row>
      <xdr:rowOff>0</xdr:rowOff>
    </xdr:from>
    <xdr:to>
      <xdr:col>4</xdr:col>
      <xdr:colOff>266700</xdr:colOff>
      <xdr:row>19</xdr:row>
      <xdr:rowOff>0</xdr:rowOff>
    </xdr:to>
    <xdr:sp macro="" textlink="">
      <xdr:nvSpPr>
        <xdr:cNvPr id="1339" name="Line 106"/>
        <xdr:cNvSpPr>
          <a:spLocks noChangeShapeType="1"/>
        </xdr:cNvSpPr>
      </xdr:nvSpPr>
      <xdr:spPr bwMode="auto">
        <a:xfrm flipV="1">
          <a:off x="4181475" y="30480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285750</xdr:colOff>
      <xdr:row>26</xdr:row>
      <xdr:rowOff>161925</xdr:rowOff>
    </xdr:from>
    <xdr:to>
      <xdr:col>4</xdr:col>
      <xdr:colOff>285750</xdr:colOff>
      <xdr:row>27</xdr:row>
      <xdr:rowOff>161925</xdr:rowOff>
    </xdr:to>
    <xdr:sp macro="" textlink="">
      <xdr:nvSpPr>
        <xdr:cNvPr id="1340" name="Line 107"/>
        <xdr:cNvSpPr>
          <a:spLocks noChangeShapeType="1"/>
        </xdr:cNvSpPr>
      </xdr:nvSpPr>
      <xdr:spPr bwMode="auto">
        <a:xfrm flipV="1">
          <a:off x="4200525" y="45053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85725</xdr:colOff>
      <xdr:row>8</xdr:row>
      <xdr:rowOff>133350</xdr:rowOff>
    </xdr:from>
    <xdr:to>
      <xdr:col>4</xdr:col>
      <xdr:colOff>85725</xdr:colOff>
      <xdr:row>12</xdr:row>
      <xdr:rowOff>19050</xdr:rowOff>
    </xdr:to>
    <xdr:sp macro="" textlink="">
      <xdr:nvSpPr>
        <xdr:cNvPr id="1341" name="Line 108"/>
        <xdr:cNvSpPr>
          <a:spLocks noChangeShapeType="1"/>
        </xdr:cNvSpPr>
      </xdr:nvSpPr>
      <xdr:spPr bwMode="auto">
        <a:xfrm flipV="1">
          <a:off x="4000500" y="15621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266700</xdr:colOff>
      <xdr:row>18</xdr:row>
      <xdr:rowOff>0</xdr:rowOff>
    </xdr:from>
    <xdr:to>
      <xdr:col>4</xdr:col>
      <xdr:colOff>266700</xdr:colOff>
      <xdr:row>19</xdr:row>
      <xdr:rowOff>0</xdr:rowOff>
    </xdr:to>
    <xdr:sp macro="" textlink="">
      <xdr:nvSpPr>
        <xdr:cNvPr id="1342" name="Line 209"/>
        <xdr:cNvSpPr>
          <a:spLocks noChangeShapeType="1"/>
        </xdr:cNvSpPr>
      </xdr:nvSpPr>
      <xdr:spPr bwMode="auto">
        <a:xfrm flipV="1">
          <a:off x="4181475" y="30480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285750</xdr:colOff>
      <xdr:row>26</xdr:row>
      <xdr:rowOff>161925</xdr:rowOff>
    </xdr:from>
    <xdr:to>
      <xdr:col>4</xdr:col>
      <xdr:colOff>285750</xdr:colOff>
      <xdr:row>27</xdr:row>
      <xdr:rowOff>161925</xdr:rowOff>
    </xdr:to>
    <xdr:sp macro="" textlink="">
      <xdr:nvSpPr>
        <xdr:cNvPr id="1343" name="Line 210"/>
        <xdr:cNvSpPr>
          <a:spLocks noChangeShapeType="1"/>
        </xdr:cNvSpPr>
      </xdr:nvSpPr>
      <xdr:spPr bwMode="auto">
        <a:xfrm flipV="1">
          <a:off x="4200525" y="4505325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4</xdr:col>
      <xdr:colOff>85725</xdr:colOff>
      <xdr:row>8</xdr:row>
      <xdr:rowOff>133350</xdr:rowOff>
    </xdr:from>
    <xdr:to>
      <xdr:col>4</xdr:col>
      <xdr:colOff>85725</xdr:colOff>
      <xdr:row>12</xdr:row>
      <xdr:rowOff>19050</xdr:rowOff>
    </xdr:to>
    <xdr:sp macro="" textlink="">
      <xdr:nvSpPr>
        <xdr:cNvPr id="1344" name="Line 211"/>
        <xdr:cNvSpPr>
          <a:spLocks noChangeShapeType="1"/>
        </xdr:cNvSpPr>
      </xdr:nvSpPr>
      <xdr:spPr bwMode="auto">
        <a:xfrm flipV="1">
          <a:off x="4000500" y="15621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med"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85725</xdr:colOff>
      <xdr:row>15</xdr:row>
      <xdr:rowOff>95250</xdr:rowOff>
    </xdr:to>
    <xdr:sp macro="" textlink="">
      <xdr:nvSpPr>
        <xdr:cNvPr id="1345" name="Line 314"/>
        <xdr:cNvSpPr>
          <a:spLocks noChangeShapeType="1"/>
        </xdr:cNvSpPr>
      </xdr:nvSpPr>
      <xdr:spPr bwMode="auto">
        <a:xfrm>
          <a:off x="6086475" y="26574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85725</xdr:colOff>
      <xdr:row>14</xdr:row>
      <xdr:rowOff>95250</xdr:rowOff>
    </xdr:to>
    <xdr:sp macro="" textlink="">
      <xdr:nvSpPr>
        <xdr:cNvPr id="1346" name="Line 315"/>
        <xdr:cNvSpPr>
          <a:spLocks noChangeShapeType="1"/>
        </xdr:cNvSpPr>
      </xdr:nvSpPr>
      <xdr:spPr bwMode="auto">
        <a:xfrm>
          <a:off x="6086475" y="249555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13</xdr:row>
      <xdr:rowOff>95250</xdr:rowOff>
    </xdr:from>
    <xdr:to>
      <xdr:col>7</xdr:col>
      <xdr:colOff>85725</xdr:colOff>
      <xdr:row>13</xdr:row>
      <xdr:rowOff>95250</xdr:rowOff>
    </xdr:to>
    <xdr:sp macro="" textlink="">
      <xdr:nvSpPr>
        <xdr:cNvPr id="1347" name="Line 316"/>
        <xdr:cNvSpPr>
          <a:spLocks noChangeShapeType="1"/>
        </xdr:cNvSpPr>
      </xdr:nvSpPr>
      <xdr:spPr bwMode="auto">
        <a:xfrm>
          <a:off x="6086475" y="23336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12</xdr:row>
      <xdr:rowOff>95250</xdr:rowOff>
    </xdr:from>
    <xdr:to>
      <xdr:col>7</xdr:col>
      <xdr:colOff>85725</xdr:colOff>
      <xdr:row>12</xdr:row>
      <xdr:rowOff>95250</xdr:rowOff>
    </xdr:to>
    <xdr:sp macro="" textlink="">
      <xdr:nvSpPr>
        <xdr:cNvPr id="1348" name="Line 317"/>
        <xdr:cNvSpPr>
          <a:spLocks noChangeShapeType="1"/>
        </xdr:cNvSpPr>
      </xdr:nvSpPr>
      <xdr:spPr bwMode="auto">
        <a:xfrm>
          <a:off x="6086475" y="21717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11</xdr:row>
      <xdr:rowOff>95250</xdr:rowOff>
    </xdr:from>
    <xdr:to>
      <xdr:col>7</xdr:col>
      <xdr:colOff>85725</xdr:colOff>
      <xdr:row>11</xdr:row>
      <xdr:rowOff>95250</xdr:rowOff>
    </xdr:to>
    <xdr:sp macro="" textlink="">
      <xdr:nvSpPr>
        <xdr:cNvPr id="1349" name="Line 318"/>
        <xdr:cNvSpPr>
          <a:spLocks noChangeShapeType="1"/>
        </xdr:cNvSpPr>
      </xdr:nvSpPr>
      <xdr:spPr bwMode="auto">
        <a:xfrm>
          <a:off x="6086475" y="20097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8</xdr:row>
      <xdr:rowOff>95250</xdr:rowOff>
    </xdr:from>
    <xdr:to>
      <xdr:col>7</xdr:col>
      <xdr:colOff>95250</xdr:colOff>
      <xdr:row>15</xdr:row>
      <xdr:rowOff>95250</xdr:rowOff>
    </xdr:to>
    <xdr:sp macro="" textlink="">
      <xdr:nvSpPr>
        <xdr:cNvPr id="1350" name="Line 319"/>
        <xdr:cNvSpPr>
          <a:spLocks noChangeShapeType="1"/>
        </xdr:cNvSpPr>
      </xdr:nvSpPr>
      <xdr:spPr bwMode="auto">
        <a:xfrm flipV="1">
          <a:off x="6181725" y="1524000"/>
          <a:ext cx="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8</xdr:row>
      <xdr:rowOff>85725</xdr:rowOff>
    </xdr:from>
    <xdr:to>
      <xdr:col>7</xdr:col>
      <xdr:colOff>95250</xdr:colOff>
      <xdr:row>8</xdr:row>
      <xdr:rowOff>85725</xdr:rowOff>
    </xdr:to>
    <xdr:sp macro="" textlink="">
      <xdr:nvSpPr>
        <xdr:cNvPr id="1351" name="Line 322"/>
        <xdr:cNvSpPr>
          <a:spLocks noChangeShapeType="1"/>
        </xdr:cNvSpPr>
      </xdr:nvSpPr>
      <xdr:spPr bwMode="auto">
        <a:xfrm flipH="1">
          <a:off x="5953125" y="1514475"/>
          <a:ext cx="228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0</xdr:colOff>
      <xdr:row>21</xdr:row>
      <xdr:rowOff>95250</xdr:rowOff>
    </xdr:from>
    <xdr:to>
      <xdr:col>7</xdr:col>
      <xdr:colOff>85725</xdr:colOff>
      <xdr:row>21</xdr:row>
      <xdr:rowOff>95250</xdr:rowOff>
    </xdr:to>
    <xdr:sp macro="" textlink="">
      <xdr:nvSpPr>
        <xdr:cNvPr id="1352" name="Line 323"/>
        <xdr:cNvSpPr>
          <a:spLocks noChangeShapeType="1"/>
        </xdr:cNvSpPr>
      </xdr:nvSpPr>
      <xdr:spPr bwMode="auto">
        <a:xfrm>
          <a:off x="6086475" y="36290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20</xdr:row>
      <xdr:rowOff>95250</xdr:rowOff>
    </xdr:from>
    <xdr:to>
      <xdr:col>7</xdr:col>
      <xdr:colOff>85725</xdr:colOff>
      <xdr:row>20</xdr:row>
      <xdr:rowOff>95250</xdr:rowOff>
    </xdr:to>
    <xdr:sp macro="" textlink="">
      <xdr:nvSpPr>
        <xdr:cNvPr id="1353" name="Line 324"/>
        <xdr:cNvSpPr>
          <a:spLocks noChangeShapeType="1"/>
        </xdr:cNvSpPr>
      </xdr:nvSpPr>
      <xdr:spPr bwMode="auto">
        <a:xfrm>
          <a:off x="6086475" y="34671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7</xdr:col>
      <xdr:colOff>85725</xdr:colOff>
      <xdr:row>19</xdr:row>
      <xdr:rowOff>95250</xdr:rowOff>
    </xdr:to>
    <xdr:sp macro="" textlink="">
      <xdr:nvSpPr>
        <xdr:cNvPr id="1354" name="Line 325"/>
        <xdr:cNvSpPr>
          <a:spLocks noChangeShapeType="1"/>
        </xdr:cNvSpPr>
      </xdr:nvSpPr>
      <xdr:spPr bwMode="auto">
        <a:xfrm>
          <a:off x="6086475" y="33051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18</xdr:row>
      <xdr:rowOff>95250</xdr:rowOff>
    </xdr:from>
    <xdr:to>
      <xdr:col>7</xdr:col>
      <xdr:colOff>95250</xdr:colOff>
      <xdr:row>21</xdr:row>
      <xdr:rowOff>95250</xdr:rowOff>
    </xdr:to>
    <xdr:sp macro="" textlink="">
      <xdr:nvSpPr>
        <xdr:cNvPr id="1355" name="Line 326"/>
        <xdr:cNvSpPr>
          <a:spLocks noChangeShapeType="1"/>
        </xdr:cNvSpPr>
      </xdr:nvSpPr>
      <xdr:spPr bwMode="auto">
        <a:xfrm flipV="1">
          <a:off x="6181725" y="3143250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866775</xdr:colOff>
      <xdr:row>18</xdr:row>
      <xdr:rowOff>95250</xdr:rowOff>
    </xdr:from>
    <xdr:to>
      <xdr:col>7</xdr:col>
      <xdr:colOff>85725</xdr:colOff>
      <xdr:row>18</xdr:row>
      <xdr:rowOff>95250</xdr:rowOff>
    </xdr:to>
    <xdr:sp macro="" textlink="">
      <xdr:nvSpPr>
        <xdr:cNvPr id="1356" name="Line 327"/>
        <xdr:cNvSpPr>
          <a:spLocks noChangeShapeType="1"/>
        </xdr:cNvSpPr>
      </xdr:nvSpPr>
      <xdr:spPr bwMode="auto">
        <a:xfrm flipH="1">
          <a:off x="5943600" y="3143250"/>
          <a:ext cx="228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0</xdr:colOff>
      <xdr:row>48</xdr:row>
      <xdr:rowOff>95250</xdr:rowOff>
    </xdr:from>
    <xdr:to>
      <xdr:col>7</xdr:col>
      <xdr:colOff>85725</xdr:colOff>
      <xdr:row>48</xdr:row>
      <xdr:rowOff>95250</xdr:rowOff>
    </xdr:to>
    <xdr:sp macro="" textlink="">
      <xdr:nvSpPr>
        <xdr:cNvPr id="1357" name="Line 328"/>
        <xdr:cNvSpPr>
          <a:spLocks noChangeShapeType="1"/>
        </xdr:cNvSpPr>
      </xdr:nvSpPr>
      <xdr:spPr bwMode="auto">
        <a:xfrm>
          <a:off x="6086475" y="8001000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47</xdr:row>
      <xdr:rowOff>95250</xdr:rowOff>
    </xdr:from>
    <xdr:to>
      <xdr:col>7</xdr:col>
      <xdr:colOff>85725</xdr:colOff>
      <xdr:row>47</xdr:row>
      <xdr:rowOff>95250</xdr:rowOff>
    </xdr:to>
    <xdr:sp macro="" textlink="">
      <xdr:nvSpPr>
        <xdr:cNvPr id="1358" name="Line 329"/>
        <xdr:cNvSpPr>
          <a:spLocks noChangeShapeType="1"/>
        </xdr:cNvSpPr>
      </xdr:nvSpPr>
      <xdr:spPr bwMode="auto">
        <a:xfrm>
          <a:off x="6086475" y="783907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46</xdr:row>
      <xdr:rowOff>95250</xdr:rowOff>
    </xdr:from>
    <xdr:to>
      <xdr:col>7</xdr:col>
      <xdr:colOff>95250</xdr:colOff>
      <xdr:row>48</xdr:row>
      <xdr:rowOff>95250</xdr:rowOff>
    </xdr:to>
    <xdr:sp macro="" textlink="">
      <xdr:nvSpPr>
        <xdr:cNvPr id="1359" name="Line 330"/>
        <xdr:cNvSpPr>
          <a:spLocks noChangeShapeType="1"/>
        </xdr:cNvSpPr>
      </xdr:nvSpPr>
      <xdr:spPr bwMode="auto">
        <a:xfrm flipV="1">
          <a:off x="6181725" y="767715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876300</xdr:colOff>
      <xdr:row>46</xdr:row>
      <xdr:rowOff>95250</xdr:rowOff>
    </xdr:from>
    <xdr:to>
      <xdr:col>7</xdr:col>
      <xdr:colOff>95250</xdr:colOff>
      <xdr:row>46</xdr:row>
      <xdr:rowOff>95250</xdr:rowOff>
    </xdr:to>
    <xdr:sp macro="" textlink="">
      <xdr:nvSpPr>
        <xdr:cNvPr id="1360" name="Line 331"/>
        <xdr:cNvSpPr>
          <a:spLocks noChangeShapeType="1"/>
        </xdr:cNvSpPr>
      </xdr:nvSpPr>
      <xdr:spPr bwMode="auto">
        <a:xfrm flipH="1">
          <a:off x="5953125" y="7677150"/>
          <a:ext cx="22860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&#322;/Downloads/6%20semestr%20Kaja/trening%20kierowniczy/CENA_DZ5_POMO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R_EWID"/>
      <sheetName val="CENA"/>
      <sheetName val="MATERIAŁY"/>
      <sheetName val="PÓŁFA_EWID"/>
      <sheetName val="ŚROD_NAT"/>
      <sheetName val="MAGA_OBCE"/>
    </sheetNames>
    <sheetDataSet>
      <sheetData sheetId="0"/>
      <sheetData sheetId="1">
        <row r="18">
          <cell r="E18">
            <v>4000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9"/>
  <sheetViews>
    <sheetView tabSelected="1" topLeftCell="A34" workbookViewId="0">
      <selection activeCell="G57" sqref="G57"/>
    </sheetView>
  </sheetViews>
  <sheetFormatPr defaultRowHeight="12.75"/>
  <cols>
    <col min="1" max="1" width="4.7109375" customWidth="1"/>
    <col min="2" max="2" width="13.140625" customWidth="1"/>
    <col min="3" max="3" width="11.85546875" customWidth="1"/>
    <col min="4" max="4" width="29" customWidth="1"/>
    <col min="5" max="5" width="7.140625" customWidth="1"/>
    <col min="6" max="6" width="10.28515625" customWidth="1"/>
    <col min="7" max="7" width="15.140625" customWidth="1"/>
    <col min="8" max="8" width="7.140625" customWidth="1"/>
    <col min="9" max="9" width="4.140625" customWidth="1"/>
    <col min="10" max="10" width="2.5703125" customWidth="1"/>
    <col min="11" max="11" width="3.42578125" customWidth="1"/>
    <col min="16" max="16" width="3.7109375" customWidth="1"/>
    <col min="18" max="18" width="10.85546875" customWidth="1"/>
    <col min="19" max="19" width="2.28515625" customWidth="1"/>
    <col min="20" max="20" width="3.140625" customWidth="1"/>
    <col min="21" max="21" width="11.28515625" customWidth="1"/>
    <col min="22" max="22" width="11.85546875" customWidth="1"/>
    <col min="23" max="23" width="11.42578125" customWidth="1"/>
    <col min="24" max="24" width="8.140625" customWidth="1"/>
    <col min="25" max="25" width="11.42578125" customWidth="1"/>
    <col min="28" max="28" width="9.7109375" customWidth="1"/>
    <col min="29" max="29" width="7.28515625" customWidth="1"/>
    <col min="30" max="30" width="2.5703125" customWidth="1"/>
    <col min="31" max="31" width="3.42578125" customWidth="1"/>
    <col min="36" max="36" width="3.7109375" customWidth="1"/>
    <col min="38" max="38" width="10.85546875" customWidth="1"/>
  </cols>
  <sheetData>
    <row r="1" spans="1:49" ht="15.6" customHeight="1">
      <c r="A1" s="34"/>
      <c r="B1" s="35" t="s">
        <v>0</v>
      </c>
      <c r="C1" s="36">
        <v>2</v>
      </c>
      <c r="D1" s="80" t="s">
        <v>148</v>
      </c>
      <c r="E1" s="260"/>
      <c r="F1" s="261"/>
      <c r="G1" s="34"/>
      <c r="I1" s="24"/>
    </row>
    <row r="2" spans="1:49" ht="13.15" customHeight="1">
      <c r="A2" s="37"/>
      <c r="B2" s="34"/>
      <c r="C2" s="34"/>
      <c r="D2" s="37"/>
      <c r="E2" s="37"/>
      <c r="F2" s="37"/>
      <c r="G2" s="37"/>
      <c r="H2" s="13"/>
      <c r="I2" s="24"/>
      <c r="AD2" s="11"/>
      <c r="AE2" s="11"/>
      <c r="AF2" s="11"/>
      <c r="AG2" s="11"/>
      <c r="AH2" s="11"/>
      <c r="AI2" s="11"/>
      <c r="AJ2" s="11"/>
      <c r="AK2" s="11"/>
      <c r="AL2" s="11"/>
    </row>
    <row r="3" spans="1:49" ht="13.15" customHeight="1">
      <c r="A3" s="34"/>
      <c r="B3" s="35" t="s">
        <v>96</v>
      </c>
      <c r="C3" s="36">
        <v>1</v>
      </c>
      <c r="D3" s="34"/>
      <c r="E3" s="34"/>
      <c r="F3" s="34"/>
      <c r="G3" s="34"/>
      <c r="I3" s="24"/>
      <c r="AD3" s="11"/>
      <c r="AE3" s="11"/>
      <c r="AF3" s="11"/>
      <c r="AG3" s="11"/>
      <c r="AH3" s="11"/>
      <c r="AI3" s="11"/>
      <c r="AJ3" s="11"/>
      <c r="AK3" s="11"/>
      <c r="AL3" s="11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49" ht="21.6" customHeight="1">
      <c r="A4" s="34"/>
      <c r="B4" s="34"/>
      <c r="C4" s="34"/>
      <c r="D4" s="38" t="s">
        <v>1</v>
      </c>
      <c r="E4" s="34"/>
      <c r="F4" s="37"/>
      <c r="G4" s="37"/>
      <c r="H4" s="3"/>
      <c r="I4" s="24"/>
      <c r="J4" s="29"/>
      <c r="K4" s="18"/>
      <c r="L4" s="30"/>
      <c r="M4" s="31"/>
      <c r="N4" s="11"/>
      <c r="O4" s="18"/>
      <c r="P4" s="18"/>
      <c r="Q4" s="18"/>
      <c r="R4" s="18"/>
      <c r="AD4" s="29"/>
      <c r="AE4" s="18"/>
      <c r="AF4" s="30"/>
      <c r="AG4" s="31"/>
      <c r="AH4" s="11"/>
      <c r="AI4" s="18"/>
      <c r="AJ4" s="18"/>
      <c r="AK4" s="18"/>
      <c r="AL4" s="18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13.15" customHeight="1" thickBot="1">
      <c r="A5" s="201"/>
      <c r="B5" s="88"/>
      <c r="C5" s="88"/>
      <c r="D5" s="88"/>
      <c r="E5" s="45"/>
      <c r="F5" s="202"/>
      <c r="G5" s="201"/>
      <c r="H5" s="3"/>
      <c r="I5" s="24"/>
      <c r="J5" s="18"/>
      <c r="K5" s="18"/>
      <c r="L5" s="18"/>
      <c r="M5" s="18"/>
      <c r="N5" s="18"/>
      <c r="O5" s="18"/>
      <c r="P5" s="18"/>
      <c r="Q5" s="18"/>
      <c r="R5" s="18"/>
      <c r="S5" s="3"/>
      <c r="AD5" s="18"/>
      <c r="AE5" s="18"/>
      <c r="AF5" s="18"/>
      <c r="AG5" s="18"/>
      <c r="AH5" s="18"/>
      <c r="AI5" s="18"/>
      <c r="AJ5" s="18"/>
      <c r="AK5" s="18"/>
      <c r="AL5" s="18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13.15" customHeight="1">
      <c r="A6" s="39"/>
      <c r="B6" s="40"/>
      <c r="C6" s="40"/>
      <c r="D6" s="41"/>
      <c r="E6" s="42" t="s">
        <v>2</v>
      </c>
      <c r="F6" s="42" t="s">
        <v>3</v>
      </c>
      <c r="G6" s="43" t="s">
        <v>4</v>
      </c>
      <c r="H6" s="6"/>
      <c r="I6" s="89"/>
      <c r="J6" s="27"/>
      <c r="K6" s="27"/>
      <c r="L6" s="27"/>
      <c r="M6" s="27"/>
      <c r="N6" s="27"/>
      <c r="O6" s="27"/>
      <c r="P6" s="27"/>
      <c r="Q6" s="27"/>
      <c r="R6" s="32"/>
      <c r="S6" s="5"/>
      <c r="T6" s="1"/>
      <c r="U6" s="1"/>
      <c r="V6" s="1"/>
      <c r="W6" s="1"/>
      <c r="X6" s="1"/>
      <c r="Y6" s="1"/>
      <c r="Z6" s="1"/>
      <c r="AA6" s="1"/>
      <c r="AB6" s="1"/>
      <c r="AD6" s="27"/>
      <c r="AE6" s="27"/>
      <c r="AF6" s="27"/>
      <c r="AG6" s="27"/>
      <c r="AH6" s="27"/>
      <c r="AI6" s="27"/>
      <c r="AJ6" s="27"/>
      <c r="AK6" s="27"/>
      <c r="AL6" s="32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s="1" customFormat="1" ht="13.15" customHeight="1">
      <c r="A7" s="44" t="s">
        <v>5</v>
      </c>
      <c r="B7" s="45"/>
      <c r="C7" s="46" t="s">
        <v>6</v>
      </c>
      <c r="D7" s="47"/>
      <c r="E7" s="48" t="s">
        <v>7</v>
      </c>
      <c r="F7" s="48" t="s">
        <v>8</v>
      </c>
      <c r="G7" s="49" t="s">
        <v>9</v>
      </c>
      <c r="H7" s="6"/>
      <c r="I7" s="89"/>
      <c r="J7" s="27"/>
      <c r="K7" s="27"/>
      <c r="L7" s="27"/>
      <c r="M7" s="27"/>
      <c r="N7" s="27"/>
      <c r="O7" s="27"/>
      <c r="P7" s="27"/>
      <c r="Q7" s="27"/>
      <c r="R7" s="32"/>
      <c r="S7" s="5"/>
      <c r="AD7" s="27"/>
      <c r="AE7" s="27"/>
      <c r="AF7" s="27"/>
      <c r="AG7" s="27"/>
      <c r="AH7" s="27"/>
      <c r="AI7" s="27"/>
      <c r="AJ7" s="27"/>
      <c r="AK7" s="27"/>
      <c r="AL7" s="32"/>
      <c r="AM7"/>
      <c r="AN7"/>
      <c r="AO7"/>
      <c r="AP7"/>
      <c r="AQ7"/>
      <c r="AR7"/>
      <c r="AS7"/>
      <c r="AT7"/>
      <c r="AU7"/>
      <c r="AV7"/>
      <c r="AW7"/>
    </row>
    <row r="8" spans="1:49" s="1" customFormat="1" ht="13.15" customHeight="1" thickBot="1">
      <c r="A8" s="50"/>
      <c r="B8" s="51"/>
      <c r="C8" s="51"/>
      <c r="D8" s="52"/>
      <c r="E8" s="53" t="s">
        <v>65</v>
      </c>
      <c r="F8" s="53" t="s">
        <v>11</v>
      </c>
      <c r="G8" s="54" t="s">
        <v>12</v>
      </c>
      <c r="H8" s="6"/>
      <c r="I8" s="89"/>
      <c r="J8" s="18"/>
      <c r="K8" s="33"/>
      <c r="L8" s="18"/>
      <c r="M8" s="18"/>
      <c r="N8" s="18"/>
      <c r="O8" s="18"/>
      <c r="P8" s="18"/>
      <c r="Q8" s="18"/>
      <c r="R8" s="17"/>
      <c r="S8" s="10"/>
      <c r="T8" s="2"/>
      <c r="U8" s="2"/>
      <c r="V8" s="2"/>
      <c r="W8" s="2"/>
      <c r="X8" s="2"/>
      <c r="Y8" s="2"/>
      <c r="Z8" s="2"/>
      <c r="AA8" s="2"/>
      <c r="AB8" s="2"/>
      <c r="AD8" s="18"/>
      <c r="AE8" s="33"/>
      <c r="AF8" s="18"/>
      <c r="AG8" s="18"/>
      <c r="AH8" s="18"/>
      <c r="AI8" s="18"/>
      <c r="AJ8" s="18"/>
      <c r="AK8" s="18"/>
      <c r="AL8" s="17"/>
      <c r="AM8"/>
      <c r="AN8"/>
      <c r="AO8"/>
      <c r="AP8"/>
      <c r="AQ8"/>
      <c r="AR8"/>
      <c r="AS8"/>
      <c r="AT8"/>
      <c r="AU8"/>
      <c r="AV8"/>
      <c r="AW8"/>
    </row>
    <row r="9" spans="1:49" s="2" customFormat="1" ht="13.15" customHeight="1">
      <c r="A9" s="82">
        <v>1</v>
      </c>
      <c r="B9" s="83" t="s">
        <v>17</v>
      </c>
      <c r="C9" s="83"/>
      <c r="D9" s="84"/>
      <c r="E9" s="415">
        <v>7100</v>
      </c>
      <c r="F9" s="289">
        <f>IF(E9=0,0,G9/E9)</f>
        <v>44.383760898725683</v>
      </c>
      <c r="G9" s="288">
        <f>G12+G13+G14+G15+G16</f>
        <v>315124.70238095237</v>
      </c>
      <c r="H9" s="7"/>
      <c r="I9" s="90"/>
      <c r="J9" s="18"/>
      <c r="K9" s="33"/>
      <c r="L9" s="18"/>
      <c r="M9" s="18"/>
      <c r="N9" s="18"/>
      <c r="O9" s="18"/>
      <c r="P9" s="18"/>
      <c r="Q9" s="18"/>
      <c r="R9" s="17"/>
      <c r="S9" s="10"/>
      <c r="AD9" s="18"/>
      <c r="AE9" s="33"/>
      <c r="AF9" s="18"/>
      <c r="AG9" s="18"/>
      <c r="AH9" s="18"/>
      <c r="AI9" s="18"/>
      <c r="AJ9" s="18"/>
      <c r="AK9" s="18"/>
      <c r="AL9" s="17"/>
      <c r="AM9"/>
      <c r="AN9"/>
      <c r="AO9"/>
      <c r="AP9"/>
      <c r="AQ9"/>
      <c r="AR9"/>
      <c r="AS9"/>
      <c r="AT9"/>
      <c r="AU9"/>
      <c r="AV9"/>
      <c r="AW9"/>
    </row>
    <row r="10" spans="1:49" s="2" customFormat="1" ht="13.15" customHeight="1">
      <c r="A10" s="55" t="s">
        <v>20</v>
      </c>
      <c r="B10" s="56" t="s">
        <v>21</v>
      </c>
      <c r="C10" s="56"/>
      <c r="D10" s="57"/>
      <c r="E10" s="415">
        <f>E9*0.9</f>
        <v>6390</v>
      </c>
      <c r="F10" s="289">
        <f>IF(E10=0,0,F9)</f>
        <v>44.383760898725683</v>
      </c>
      <c r="G10" s="288">
        <f>E10*F10</f>
        <v>283612.2321428571</v>
      </c>
      <c r="H10" s="7"/>
      <c r="I10" s="90"/>
      <c r="J10" s="18"/>
      <c r="K10" s="33"/>
      <c r="L10" s="18"/>
      <c r="M10" s="18"/>
      <c r="N10" s="18"/>
      <c r="O10" s="18"/>
      <c r="P10" s="18"/>
      <c r="Q10" s="18"/>
      <c r="R10" s="17"/>
      <c r="S10" s="10"/>
      <c r="T10" s="1"/>
      <c r="U10" s="1"/>
      <c r="V10" s="1"/>
      <c r="W10" s="1"/>
      <c r="X10" s="1"/>
      <c r="Y10" s="1"/>
      <c r="Z10" s="1"/>
      <c r="AA10" s="1"/>
      <c r="AB10" s="1"/>
      <c r="AD10" s="18"/>
      <c r="AE10" s="33"/>
      <c r="AF10" s="18"/>
      <c r="AG10" s="18"/>
      <c r="AH10" s="18"/>
      <c r="AI10" s="18"/>
      <c r="AJ10" s="18"/>
      <c r="AK10" s="18"/>
      <c r="AL10" s="17"/>
      <c r="AM10"/>
      <c r="AN10"/>
      <c r="AO10"/>
      <c r="AP10"/>
      <c r="AQ10"/>
      <c r="AR10"/>
      <c r="AS10"/>
      <c r="AT10"/>
      <c r="AU10"/>
      <c r="AV10"/>
      <c r="AW10"/>
    </row>
    <row r="11" spans="1:49" s="1" customFormat="1" ht="13.15" customHeight="1" thickBot="1">
      <c r="A11" s="58" t="s">
        <v>24</v>
      </c>
      <c r="B11" s="59" t="s">
        <v>25</v>
      </c>
      <c r="C11" s="59"/>
      <c r="D11" s="60"/>
      <c r="E11" s="283">
        <f>E9-E10</f>
        <v>710</v>
      </c>
      <c r="F11" s="290">
        <f>IF(E11=0,0,F9)</f>
        <v>44.383760898725683</v>
      </c>
      <c r="G11" s="291">
        <f>G9-G10</f>
        <v>31512.470238095266</v>
      </c>
      <c r="H11" s="7"/>
      <c r="I11" s="90"/>
      <c r="J11" s="18"/>
      <c r="K11" s="33"/>
      <c r="L11" s="18"/>
      <c r="M11" s="18"/>
      <c r="N11" s="18"/>
      <c r="O11" s="18"/>
      <c r="P11" s="18"/>
      <c r="Q11" s="18"/>
      <c r="R11" s="17"/>
      <c r="S11" s="10"/>
      <c r="AD11" s="18"/>
      <c r="AE11" s="33"/>
      <c r="AF11" s="18"/>
      <c r="AG11" s="18"/>
      <c r="AH11" s="18"/>
      <c r="AI11" s="18"/>
      <c r="AJ11" s="18"/>
      <c r="AK11" s="18"/>
      <c r="AL11" s="17"/>
      <c r="AM11"/>
      <c r="AN11"/>
      <c r="AO11"/>
      <c r="AP11"/>
      <c r="AQ11"/>
      <c r="AR11"/>
      <c r="AS11"/>
      <c r="AT11"/>
      <c r="AU11"/>
      <c r="AV11"/>
      <c r="AW11"/>
    </row>
    <row r="12" spans="1:49" s="1" customFormat="1" ht="13.15" customHeight="1">
      <c r="A12" s="61" t="s">
        <v>28</v>
      </c>
      <c r="B12" s="62" t="s">
        <v>29</v>
      </c>
      <c r="C12" s="56"/>
      <c r="D12" s="57"/>
      <c r="E12" s="63"/>
      <c r="F12" s="289">
        <f ca="1">MATERIAŁY!H36*MATERIAŁY!G20</f>
        <v>34.976190476190474</v>
      </c>
      <c r="G12" s="288">
        <f>E9*F12</f>
        <v>248330.95238095237</v>
      </c>
      <c r="H12" s="7"/>
      <c r="I12" s="90"/>
      <c r="J12" s="18"/>
      <c r="K12" s="33"/>
      <c r="L12" s="18"/>
      <c r="M12" s="18"/>
      <c r="N12" s="18"/>
      <c r="O12" s="18"/>
      <c r="P12" s="18"/>
      <c r="Q12" s="18"/>
      <c r="R12" s="17"/>
      <c r="S12" s="10"/>
      <c r="AD12" s="18"/>
      <c r="AE12" s="33"/>
      <c r="AF12" s="18"/>
      <c r="AG12" s="18"/>
      <c r="AH12" s="18"/>
      <c r="AI12" s="18"/>
      <c r="AJ12" s="18"/>
      <c r="AK12" s="18"/>
      <c r="AL12" s="17"/>
      <c r="AM12"/>
      <c r="AN12"/>
      <c r="AO12"/>
      <c r="AP12"/>
      <c r="AQ12"/>
      <c r="AR12"/>
      <c r="AS12"/>
      <c r="AT12"/>
      <c r="AU12"/>
      <c r="AV12"/>
      <c r="AW12"/>
    </row>
    <row r="13" spans="1:49" s="1" customFormat="1" ht="13.15" customHeight="1">
      <c r="A13" s="61" t="s">
        <v>31</v>
      </c>
      <c r="B13" s="56" t="s">
        <v>151</v>
      </c>
      <c r="C13" s="56"/>
      <c r="D13" s="57"/>
      <c r="E13" s="64" t="s">
        <v>53</v>
      </c>
      <c r="F13" s="289">
        <f ca="1">PERSONEL_MASZ!D39</f>
        <v>1.5625</v>
      </c>
      <c r="G13" s="288">
        <f>E9*F13</f>
        <v>11093.75</v>
      </c>
      <c r="H13" s="8"/>
      <c r="I13" s="90"/>
      <c r="J13" s="18"/>
      <c r="K13" s="33"/>
      <c r="L13" s="18"/>
      <c r="M13" s="18"/>
      <c r="N13" s="18"/>
      <c r="O13" s="18"/>
      <c r="P13" s="18"/>
      <c r="Q13" s="18"/>
      <c r="R13" s="17"/>
      <c r="S13" s="10"/>
      <c r="T13" s="23"/>
      <c r="U13" s="23"/>
      <c r="V13" s="23"/>
      <c r="W13" s="23"/>
      <c r="X13" s="23"/>
      <c r="Y13" s="23"/>
      <c r="Z13" s="23"/>
      <c r="AA13" s="23"/>
      <c r="AB13" s="23"/>
      <c r="AD13" s="18"/>
      <c r="AE13" s="33"/>
      <c r="AF13" s="18"/>
      <c r="AG13" s="18"/>
      <c r="AH13" s="18"/>
      <c r="AI13" s="18"/>
      <c r="AJ13" s="18"/>
      <c r="AK13" s="18"/>
      <c r="AL13" s="17"/>
      <c r="AM13"/>
      <c r="AN13"/>
      <c r="AO13"/>
      <c r="AP13"/>
      <c r="AQ13"/>
      <c r="AR13"/>
      <c r="AS13"/>
      <c r="AT13"/>
      <c r="AU13"/>
      <c r="AV13"/>
      <c r="AW13"/>
    </row>
    <row r="14" spans="1:49" s="1" customFormat="1" ht="13.15" customHeight="1">
      <c r="A14" s="61" t="s">
        <v>33</v>
      </c>
      <c r="B14" s="62" t="s">
        <v>34</v>
      </c>
      <c r="C14" s="56"/>
      <c r="D14" s="57"/>
      <c r="E14" s="64" t="s">
        <v>46</v>
      </c>
      <c r="F14" s="289">
        <f ca="1">PERSONEL_MASZ!D64</f>
        <v>2</v>
      </c>
      <c r="G14" s="288">
        <f>F14*E9</f>
        <v>14200</v>
      </c>
      <c r="H14" s="7"/>
      <c r="I14" s="90"/>
      <c r="J14" s="18"/>
      <c r="K14" s="33"/>
      <c r="L14" s="18"/>
      <c r="M14" s="18"/>
      <c r="N14" s="18"/>
      <c r="O14" s="18"/>
      <c r="P14" s="18"/>
      <c r="Q14" s="18"/>
      <c r="R14" s="17"/>
      <c r="S14"/>
      <c r="T14" s="18"/>
      <c r="U14" s="18"/>
      <c r="V14" s="18"/>
      <c r="W14" s="18"/>
      <c r="X14" s="18"/>
      <c r="Y14" s="18"/>
      <c r="Z14" s="18"/>
      <c r="AA14" s="18"/>
      <c r="AB14" s="18"/>
      <c r="AD14" s="18"/>
      <c r="AE14" s="33"/>
      <c r="AF14" s="18"/>
      <c r="AG14" s="18"/>
      <c r="AH14" s="18"/>
      <c r="AI14" s="18"/>
      <c r="AJ14" s="18"/>
      <c r="AK14" s="18"/>
      <c r="AL14" s="17"/>
      <c r="AM14"/>
      <c r="AN14"/>
      <c r="AO14"/>
      <c r="AP14"/>
      <c r="AQ14"/>
      <c r="AR14"/>
      <c r="AS14"/>
      <c r="AT14"/>
      <c r="AU14"/>
      <c r="AV14"/>
      <c r="AW14"/>
    </row>
    <row r="15" spans="1:49" s="1" customFormat="1" ht="13.15" customHeight="1">
      <c r="A15" s="61" t="s">
        <v>36</v>
      </c>
      <c r="B15" s="62" t="s">
        <v>37</v>
      </c>
      <c r="C15" s="56"/>
      <c r="D15" s="57"/>
      <c r="E15" s="64" t="s">
        <v>94</v>
      </c>
      <c r="F15" s="289">
        <f>IF(E9=0,0,G15/E9)</f>
        <v>0.84507042253521125</v>
      </c>
      <c r="G15" s="288">
        <f ca="1">ŚROD_NAT!H23</f>
        <v>6000</v>
      </c>
      <c r="H15" s="7"/>
      <c r="I15" s="90"/>
      <c r="J15" s="18"/>
      <c r="K15" s="33"/>
      <c r="L15" s="18"/>
      <c r="M15" s="18"/>
      <c r="N15" s="18"/>
      <c r="O15" s="18"/>
      <c r="P15" s="18"/>
      <c r="Q15" s="18"/>
      <c r="R15" s="17"/>
      <c r="S15"/>
      <c r="T15" s="14"/>
      <c r="U15" s="14"/>
      <c r="V15" s="14"/>
      <c r="W15" s="14"/>
      <c r="X15" s="14"/>
      <c r="Y15" s="14"/>
      <c r="Z15" s="14"/>
      <c r="AA15" s="14"/>
      <c r="AB15" s="14"/>
      <c r="AD15" s="18"/>
      <c r="AE15" s="33"/>
      <c r="AF15" s="18"/>
      <c r="AG15" s="18"/>
      <c r="AH15" s="18"/>
      <c r="AI15" s="18"/>
      <c r="AJ15" s="18"/>
      <c r="AK15" s="18"/>
      <c r="AL15" s="17"/>
      <c r="AM15"/>
      <c r="AN15"/>
      <c r="AO15"/>
      <c r="AP15"/>
      <c r="AQ15"/>
      <c r="AR15"/>
      <c r="AS15"/>
      <c r="AT15"/>
      <c r="AU15"/>
      <c r="AV15"/>
      <c r="AW15"/>
    </row>
    <row r="16" spans="1:49" s="1" customFormat="1" ht="13.15" customHeight="1" thickBot="1">
      <c r="A16" s="65" t="s">
        <v>41</v>
      </c>
      <c r="B16" s="66" t="s">
        <v>42</v>
      </c>
      <c r="C16" s="59"/>
      <c r="D16" s="60"/>
      <c r="E16" s="67"/>
      <c r="F16" s="68">
        <v>5</v>
      </c>
      <c r="G16" s="291">
        <f>F16*E9</f>
        <v>35500</v>
      </c>
      <c r="H16" s="7"/>
      <c r="I16" s="90"/>
      <c r="J16" s="18"/>
      <c r="K16" s="33"/>
      <c r="L16" s="18"/>
      <c r="M16" s="18"/>
      <c r="N16" s="18"/>
      <c r="O16" s="18"/>
      <c r="P16" s="18"/>
      <c r="Q16" s="18"/>
      <c r="R16" s="17"/>
      <c r="S16"/>
      <c r="T16" s="14"/>
      <c r="U16" s="14"/>
      <c r="V16" s="14"/>
      <c r="W16" s="14"/>
      <c r="X16" s="14"/>
      <c r="Y16" s="14"/>
      <c r="Z16" s="14"/>
      <c r="AA16" s="14"/>
      <c r="AB16" s="14"/>
      <c r="AD16" s="18"/>
      <c r="AE16" s="33"/>
      <c r="AF16" s="18"/>
      <c r="AG16" s="18"/>
      <c r="AH16" s="18"/>
      <c r="AI16" s="18"/>
      <c r="AJ16" s="18"/>
      <c r="AK16" s="18"/>
      <c r="AL16" s="17"/>
      <c r="AM16"/>
      <c r="AN16"/>
      <c r="AO16"/>
      <c r="AP16"/>
      <c r="AQ16"/>
      <c r="AR16"/>
      <c r="AS16"/>
      <c r="AT16"/>
      <c r="AU16"/>
      <c r="AV16"/>
      <c r="AW16"/>
    </row>
    <row r="17" spans="1:49" s="1" customFormat="1" ht="13.15" customHeight="1" thickBot="1">
      <c r="A17" s="65">
        <v>2</v>
      </c>
      <c r="B17" s="59" t="s">
        <v>172</v>
      </c>
      <c r="C17" s="59"/>
      <c r="D17" s="60"/>
      <c r="E17" s="283">
        <f ca="1">PÓŁFA_EWID!E13</f>
        <v>7490</v>
      </c>
      <c r="F17" s="290">
        <f ca="1">PÓŁFA_EWID!F23</f>
        <v>43.954503623879454</v>
      </c>
      <c r="G17" s="291">
        <f ca="1">PÓŁFA_EWID!E23</f>
        <v>329219.2321428571</v>
      </c>
      <c r="H17" s="7"/>
      <c r="I17" s="90"/>
      <c r="J17" s="18"/>
      <c r="K17" s="18"/>
      <c r="L17" s="18"/>
      <c r="M17" s="18"/>
      <c r="N17" s="18"/>
      <c r="O17" s="18"/>
      <c r="P17" s="18"/>
      <c r="Q17" s="18"/>
      <c r="R17" s="17"/>
      <c r="S17"/>
      <c r="T17" s="15"/>
      <c r="U17" s="16"/>
      <c r="V17" s="16"/>
      <c r="W17" s="17"/>
      <c r="X17" s="16"/>
      <c r="Y17" s="17"/>
      <c r="Z17" s="16"/>
      <c r="AA17" s="18"/>
      <c r="AB17" s="16"/>
      <c r="AD17" s="18"/>
      <c r="AE17" s="18"/>
      <c r="AF17" s="18"/>
      <c r="AG17" s="18"/>
      <c r="AH17" s="18"/>
      <c r="AI17" s="18"/>
      <c r="AJ17" s="18"/>
      <c r="AK17" s="18"/>
      <c r="AL17" s="17"/>
      <c r="AM17"/>
      <c r="AN17"/>
      <c r="AO17"/>
      <c r="AP17"/>
      <c r="AQ17"/>
      <c r="AR17"/>
      <c r="AS17"/>
      <c r="AT17"/>
      <c r="AU17"/>
      <c r="AV17"/>
      <c r="AW17"/>
    </row>
    <row r="18" spans="1:49" s="1" customFormat="1" ht="13.15" customHeight="1" thickBot="1">
      <c r="A18" s="65">
        <f>A17+1</f>
        <v>3</v>
      </c>
      <c r="B18" s="59" t="s">
        <v>50</v>
      </c>
      <c r="C18" s="59"/>
      <c r="D18" s="60"/>
      <c r="E18" s="416">
        <v>7390</v>
      </c>
      <c r="F18" s="290">
        <f>IF(E18=0,0,F17)</f>
        <v>43.954503623879454</v>
      </c>
      <c r="G18" s="291">
        <f>F18*E18</f>
        <v>324823.78178046917</v>
      </c>
      <c r="H18" s="7"/>
      <c r="I18" s="91"/>
      <c r="J18" s="27"/>
      <c r="K18" s="27"/>
      <c r="L18" s="27"/>
      <c r="M18" s="27"/>
      <c r="N18" s="27"/>
      <c r="O18" s="27"/>
      <c r="P18" s="27"/>
      <c r="Q18" s="27"/>
      <c r="R18" s="32"/>
      <c r="S18"/>
      <c r="T18" s="14"/>
      <c r="U18" s="19"/>
      <c r="V18" s="19"/>
      <c r="W18" s="20"/>
      <c r="X18" s="19"/>
      <c r="Y18" s="20"/>
      <c r="Z18" s="19"/>
      <c r="AA18" s="19"/>
      <c r="AB18" s="19"/>
      <c r="AD18" s="27"/>
      <c r="AE18" s="27"/>
      <c r="AF18" s="27"/>
      <c r="AG18" s="27"/>
      <c r="AH18" s="27"/>
      <c r="AI18" s="27"/>
      <c r="AJ18" s="27"/>
      <c r="AK18" s="27"/>
      <c r="AL18" s="32"/>
      <c r="AM18"/>
      <c r="AN18"/>
      <c r="AO18"/>
      <c r="AP18"/>
      <c r="AQ18"/>
      <c r="AR18"/>
      <c r="AS18"/>
      <c r="AT18"/>
      <c r="AU18"/>
      <c r="AV18"/>
      <c r="AW18"/>
    </row>
    <row r="19" spans="1:49" s="1" customFormat="1" ht="13.15" customHeight="1" thickBot="1">
      <c r="A19" s="85">
        <f>A18+1</f>
        <v>4</v>
      </c>
      <c r="B19" s="86" t="s">
        <v>51</v>
      </c>
      <c r="C19" s="86"/>
      <c r="D19" s="87"/>
      <c r="E19" s="221"/>
      <c r="F19" s="290">
        <f>IF(E18=0,0,G19/E18)</f>
        <v>521.27267532467522</v>
      </c>
      <c r="G19" s="291">
        <f>G20+G21+G22</f>
        <v>3852205.0706493501</v>
      </c>
      <c r="H19" s="7"/>
      <c r="I19" s="90"/>
      <c r="J19" s="18"/>
      <c r="K19" s="33"/>
      <c r="L19" s="18"/>
      <c r="M19" s="18"/>
      <c r="N19" s="18"/>
      <c r="O19" s="18"/>
      <c r="P19" s="18"/>
      <c r="Q19" s="18"/>
      <c r="R19" s="17"/>
      <c r="S19"/>
      <c r="T19"/>
      <c r="U19"/>
      <c r="V19"/>
      <c r="W19"/>
      <c r="X19"/>
      <c r="Y19"/>
      <c r="Z19"/>
      <c r="AA19"/>
      <c r="AB19"/>
      <c r="AD19" s="18"/>
      <c r="AE19" s="33"/>
      <c r="AF19" s="18"/>
      <c r="AG19" s="18"/>
      <c r="AH19" s="18"/>
      <c r="AI19" s="18"/>
      <c r="AJ19" s="18"/>
      <c r="AK19" s="18"/>
      <c r="AL19" s="17"/>
      <c r="AM19"/>
      <c r="AN19"/>
      <c r="AO19"/>
      <c r="AP19"/>
      <c r="AQ19"/>
      <c r="AR19"/>
      <c r="AS19"/>
      <c r="AT19"/>
      <c r="AU19"/>
      <c r="AV19"/>
      <c r="AW19"/>
    </row>
    <row r="20" spans="1:49" s="1" customFormat="1" ht="13.15" customHeight="1">
      <c r="A20" s="61" t="s">
        <v>224</v>
      </c>
      <c r="B20" s="62" t="s">
        <v>52</v>
      </c>
      <c r="C20" s="56"/>
      <c r="D20" s="57"/>
      <c r="E20" s="64" t="s">
        <v>53</v>
      </c>
      <c r="F20" s="289">
        <f ca="1">MATERIAŁY!H58</f>
        <v>511.71017532467528</v>
      </c>
      <c r="G20" s="288">
        <f>F20*E18</f>
        <v>3781538.1956493501</v>
      </c>
      <c r="H20" s="7"/>
      <c r="I20" s="90"/>
      <c r="J20" s="18"/>
      <c r="K20" s="33"/>
      <c r="L20" s="18"/>
      <c r="M20" s="18"/>
      <c r="N20" s="18"/>
      <c r="O20" s="18"/>
      <c r="P20" s="18"/>
      <c r="Q20" s="18"/>
      <c r="R20" s="17"/>
      <c r="S20"/>
      <c r="T20"/>
      <c r="U20"/>
      <c r="V20"/>
      <c r="W20"/>
      <c r="X20"/>
      <c r="Y20" s="2"/>
      <c r="Z20" s="2"/>
      <c r="AA20" s="2"/>
      <c r="AB20" s="2"/>
      <c r="AD20" s="18"/>
      <c r="AE20" s="33"/>
      <c r="AF20" s="18"/>
      <c r="AG20" s="18"/>
      <c r="AH20" s="18"/>
      <c r="AI20" s="18"/>
      <c r="AJ20" s="18"/>
      <c r="AK20" s="18"/>
      <c r="AL20" s="17"/>
      <c r="AM20"/>
      <c r="AN20"/>
      <c r="AO20"/>
      <c r="AP20"/>
      <c r="AQ20"/>
      <c r="AR20"/>
      <c r="AS20"/>
      <c r="AT20"/>
      <c r="AU20"/>
      <c r="AV20"/>
      <c r="AW20"/>
    </row>
    <row r="21" spans="1:49" s="2" customFormat="1" ht="13.15" customHeight="1">
      <c r="A21" s="61" t="s">
        <v>225</v>
      </c>
      <c r="B21" s="62" t="s">
        <v>149</v>
      </c>
      <c r="C21" s="56"/>
      <c r="D21" s="57"/>
      <c r="E21" s="64" t="s">
        <v>46</v>
      </c>
      <c r="F21" s="289">
        <f ca="1">PERSONEL_MASZ!D57</f>
        <v>1.5625</v>
      </c>
      <c r="G21" s="288">
        <f>F21*E18</f>
        <v>11546.875</v>
      </c>
      <c r="H21" s="411"/>
      <c r="I21" s="90"/>
      <c r="J21" s="18"/>
      <c r="K21" s="33"/>
      <c r="L21" s="410"/>
      <c r="M21" s="18"/>
      <c r="N21" s="18"/>
      <c r="O21" s="18"/>
      <c r="P21" s="18"/>
      <c r="Q21" s="18"/>
      <c r="R21" s="17"/>
      <c r="S21"/>
      <c r="T21"/>
      <c r="U21"/>
      <c r="V21"/>
      <c r="W21"/>
      <c r="X21"/>
      <c r="Y21" s="1"/>
      <c r="Z21" s="1"/>
      <c r="AA21" s="1"/>
      <c r="AB21" s="1"/>
      <c r="AD21" s="18"/>
      <c r="AE21" s="33"/>
      <c r="AF21" s="18"/>
      <c r="AG21" s="18"/>
      <c r="AH21" s="18"/>
      <c r="AI21" s="18"/>
      <c r="AJ21" s="18"/>
      <c r="AK21" s="18"/>
      <c r="AL21" s="17"/>
      <c r="AM21"/>
      <c r="AN21"/>
      <c r="AO21"/>
      <c r="AP21"/>
      <c r="AQ21"/>
      <c r="AR21"/>
      <c r="AS21"/>
      <c r="AT21"/>
      <c r="AU21"/>
      <c r="AV21"/>
      <c r="AW21"/>
    </row>
    <row r="22" spans="1:49" s="2" customFormat="1" ht="13.15" customHeight="1" thickBot="1">
      <c r="A22" s="65" t="s">
        <v>226</v>
      </c>
      <c r="B22" s="66" t="s">
        <v>42</v>
      </c>
      <c r="C22" s="59"/>
      <c r="D22" s="60"/>
      <c r="E22" s="64" t="s">
        <v>54</v>
      </c>
      <c r="F22" s="68">
        <v>8</v>
      </c>
      <c r="G22" s="291">
        <f>F22*E18</f>
        <v>59120</v>
      </c>
      <c r="H22" s="7"/>
      <c r="I22" s="90"/>
      <c r="J22" s="18"/>
      <c r="K22" s="33"/>
      <c r="L22" s="18"/>
      <c r="M22" s="18"/>
      <c r="N22" s="18"/>
      <c r="O22" s="18"/>
      <c r="P22" s="18"/>
      <c r="Q22" s="18"/>
      <c r="R22" s="17"/>
      <c r="S22"/>
      <c r="T22"/>
      <c r="U22"/>
      <c r="V22"/>
      <c r="W22"/>
      <c r="X22"/>
      <c r="Y22" s="1"/>
      <c r="Z22" s="1"/>
      <c r="AA22" s="1"/>
      <c r="AB22" s="1"/>
      <c r="AD22" s="18"/>
      <c r="AE22" s="33"/>
      <c r="AF22" s="18"/>
      <c r="AG22" s="18"/>
      <c r="AH22" s="18"/>
      <c r="AI22" s="18"/>
      <c r="AJ22" s="18"/>
      <c r="AK22" s="18"/>
      <c r="AL22" s="17"/>
      <c r="AM22"/>
      <c r="AN22"/>
      <c r="AO22"/>
      <c r="AP22"/>
      <c r="AQ22"/>
      <c r="AR22"/>
      <c r="AS22"/>
      <c r="AT22"/>
      <c r="AU22"/>
      <c r="AV22"/>
      <c r="AW22"/>
    </row>
    <row r="23" spans="1:49" s="1" customFormat="1" ht="13.15" customHeight="1">
      <c r="A23" s="82">
        <v>5</v>
      </c>
      <c r="B23" s="83" t="s">
        <v>250</v>
      </c>
      <c r="C23" s="83"/>
      <c r="D23" s="84"/>
      <c r="E23" s="292">
        <f>E18</f>
        <v>7390</v>
      </c>
      <c r="F23" s="289">
        <f>IF(E23=0,0,G23/E23)</f>
        <v>565.22717894855475</v>
      </c>
      <c r="G23" s="288">
        <f>G19+G18</f>
        <v>4177028.8524298193</v>
      </c>
      <c r="H23" s="7"/>
      <c r="I23" s="90"/>
      <c r="J23" s="18"/>
      <c r="K23" s="33"/>
      <c r="L23" s="18"/>
      <c r="M23" s="18"/>
      <c r="N23" s="18"/>
      <c r="O23" s="18"/>
      <c r="P23" s="18"/>
      <c r="Q23" s="18"/>
      <c r="R23" s="17"/>
      <c r="S23"/>
      <c r="T23"/>
      <c r="U23"/>
      <c r="V23"/>
      <c r="W23"/>
      <c r="X23"/>
      <c r="AD23" s="18"/>
      <c r="AE23" s="33"/>
      <c r="AF23" s="18"/>
      <c r="AG23" s="18"/>
      <c r="AH23" s="18"/>
      <c r="AI23" s="18"/>
      <c r="AJ23" s="18"/>
      <c r="AK23" s="18"/>
      <c r="AL23" s="17"/>
      <c r="AM23"/>
      <c r="AN23"/>
      <c r="AO23"/>
      <c r="AP23"/>
      <c r="AQ23"/>
      <c r="AR23"/>
      <c r="AS23"/>
      <c r="AT23"/>
      <c r="AU23"/>
      <c r="AV23"/>
      <c r="AW23"/>
    </row>
    <row r="24" spans="1:49" s="1" customFormat="1" ht="13.15" customHeight="1">
      <c r="A24" s="55" t="s">
        <v>227</v>
      </c>
      <c r="B24" s="56" t="s">
        <v>55</v>
      </c>
      <c r="C24" s="56"/>
      <c r="D24" s="57"/>
      <c r="E24" s="415">
        <f>E23*0.9</f>
        <v>6651</v>
      </c>
      <c r="F24" s="289">
        <f>IF(E24=0,0,F23)</f>
        <v>565.22717894855475</v>
      </c>
      <c r="G24" s="288">
        <f>F24*E24</f>
        <v>3759325.9671868375</v>
      </c>
      <c r="H24" s="9"/>
      <c r="I24" s="90"/>
      <c r="J24" s="18"/>
      <c r="K24" s="33"/>
      <c r="L24" s="18"/>
      <c r="M24" s="18"/>
      <c r="N24" s="18"/>
      <c r="O24" s="18"/>
      <c r="P24" s="18"/>
      <c r="Q24" s="18"/>
      <c r="R24" s="17"/>
      <c r="S24"/>
      <c r="T24"/>
      <c r="U24"/>
      <c r="V24"/>
      <c r="W24"/>
      <c r="X24"/>
      <c r="AD24" s="18"/>
      <c r="AE24" s="33"/>
      <c r="AF24" s="18"/>
      <c r="AG24" s="18"/>
      <c r="AH24" s="18"/>
      <c r="AI24" s="18"/>
      <c r="AJ24" s="18"/>
      <c r="AK24" s="18"/>
      <c r="AL24" s="17"/>
      <c r="AM24"/>
      <c r="AN24"/>
      <c r="AO24"/>
      <c r="AP24"/>
      <c r="AQ24"/>
      <c r="AR24"/>
      <c r="AS24"/>
      <c r="AT24"/>
      <c r="AU24"/>
      <c r="AV24"/>
      <c r="AW24"/>
    </row>
    <row r="25" spans="1:49" s="1" customFormat="1" ht="13.15" customHeight="1" thickBot="1">
      <c r="A25" s="58" t="s">
        <v>228</v>
      </c>
      <c r="B25" s="59" t="s">
        <v>56</v>
      </c>
      <c r="C25" s="59"/>
      <c r="D25" s="60"/>
      <c r="E25" s="283">
        <f>E23-E24</f>
        <v>739</v>
      </c>
      <c r="F25" s="290">
        <f>IF(E25=0,0,F23)</f>
        <v>565.22717894855475</v>
      </c>
      <c r="G25" s="291">
        <f>G23-G24</f>
        <v>417702.88524298184</v>
      </c>
      <c r="H25" s="7"/>
      <c r="I25" s="90"/>
      <c r="J25" s="18"/>
      <c r="K25" s="33"/>
      <c r="L25" s="18"/>
      <c r="M25" s="18"/>
      <c r="N25" s="18"/>
      <c r="O25" s="18"/>
      <c r="P25" s="18"/>
      <c r="Q25" s="18"/>
      <c r="R25" s="17"/>
      <c r="S25"/>
      <c r="T25"/>
      <c r="U25"/>
      <c r="V25"/>
      <c r="W25"/>
      <c r="X25"/>
      <c r="AD25" s="18"/>
      <c r="AE25" s="33"/>
      <c r="AF25" s="18"/>
      <c r="AG25" s="18"/>
      <c r="AH25" s="18"/>
      <c r="AI25" s="18"/>
      <c r="AJ25" s="18"/>
      <c r="AK25" s="18"/>
      <c r="AL25" s="17"/>
      <c r="AM25"/>
      <c r="AN25"/>
      <c r="AO25"/>
      <c r="AP25"/>
      <c r="AQ25"/>
      <c r="AR25"/>
      <c r="AS25"/>
      <c r="AT25"/>
      <c r="AU25"/>
      <c r="AV25"/>
      <c r="AW25"/>
    </row>
    <row r="26" spans="1:49" s="1" customFormat="1" ht="13.15" customHeight="1" thickBot="1">
      <c r="A26" s="65">
        <v>6</v>
      </c>
      <c r="B26" s="59" t="s">
        <v>57</v>
      </c>
      <c r="C26" s="59"/>
      <c r="D26" s="60"/>
      <c r="E26" s="283">
        <f ca="1">WYR_EWID!E13</f>
        <v>7631</v>
      </c>
      <c r="F26" s="290">
        <f ca="1">WYR_EWID!F23</f>
        <v>558.8743240973447</v>
      </c>
      <c r="G26" s="291">
        <f ca="1">WYR_EWID!E23</f>
        <v>4264769.9671868375</v>
      </c>
      <c r="H26" s="7"/>
      <c r="I26" s="90"/>
      <c r="J26" s="18"/>
      <c r="K26" s="33"/>
      <c r="L26" s="18"/>
      <c r="M26" s="18"/>
      <c r="N26" s="18"/>
      <c r="O26" s="18"/>
      <c r="P26" s="18"/>
      <c r="Q26" s="18"/>
      <c r="R26" s="17"/>
      <c r="S26" s="3"/>
      <c r="T26" s="3"/>
      <c r="U26" s="3"/>
      <c r="V26" s="3"/>
      <c r="W26" s="3"/>
      <c r="X26" s="3"/>
      <c r="Y26" s="3"/>
      <c r="Z26" s="3"/>
      <c r="AA26" s="3"/>
      <c r="AB26" s="3"/>
      <c r="AD26" s="18"/>
      <c r="AE26" s="33"/>
      <c r="AF26" s="18"/>
      <c r="AG26" s="18"/>
      <c r="AH26" s="18"/>
      <c r="AI26" s="18"/>
      <c r="AJ26" s="18"/>
      <c r="AK26" s="18"/>
      <c r="AL26" s="17"/>
      <c r="AM26"/>
      <c r="AN26"/>
      <c r="AO26"/>
      <c r="AP26"/>
      <c r="AQ26"/>
      <c r="AR26"/>
      <c r="AS26"/>
      <c r="AT26"/>
      <c r="AU26"/>
      <c r="AV26"/>
      <c r="AW26"/>
    </row>
    <row r="27" spans="1:49" s="1" customFormat="1" ht="13.15" customHeight="1" thickBot="1">
      <c r="A27" s="70">
        <f>A26+1</f>
        <v>7</v>
      </c>
      <c r="B27" s="71" t="s">
        <v>58</v>
      </c>
      <c r="C27" s="71"/>
      <c r="D27" s="72"/>
      <c r="E27" s="416">
        <v>7531</v>
      </c>
      <c r="F27" s="290">
        <f>IF(E27=0,0,F26)</f>
        <v>558.8743240973447</v>
      </c>
      <c r="G27" s="291">
        <f>F27*E27</f>
        <v>4208882.534777103</v>
      </c>
      <c r="H27" s="7"/>
      <c r="I27" s="90"/>
      <c r="J27" s="18"/>
      <c r="K27" s="18"/>
      <c r="L27" s="18"/>
      <c r="M27" s="18"/>
      <c r="N27" s="18"/>
      <c r="O27" s="18"/>
      <c r="P27" s="18"/>
      <c r="Q27" s="18"/>
      <c r="R27" s="17"/>
      <c r="S27" s="3"/>
      <c r="T27" s="23"/>
      <c r="U27" s="23"/>
      <c r="V27" s="23"/>
      <c r="W27" s="23"/>
      <c r="X27" s="23"/>
      <c r="Y27" s="23"/>
      <c r="Z27" s="23"/>
      <c r="AA27" s="23"/>
      <c r="AB27" s="23"/>
      <c r="AD27" s="18"/>
      <c r="AE27" s="18"/>
      <c r="AF27" s="18"/>
      <c r="AG27" s="18"/>
      <c r="AH27" s="18"/>
      <c r="AI27" s="18"/>
      <c r="AJ27" s="18"/>
      <c r="AK27" s="18"/>
      <c r="AL27" s="17"/>
      <c r="AM27"/>
      <c r="AN27"/>
      <c r="AO27"/>
      <c r="AP27"/>
      <c r="AQ27"/>
      <c r="AR27"/>
      <c r="AS27"/>
      <c r="AT27"/>
      <c r="AU27"/>
      <c r="AV27"/>
      <c r="AW27"/>
    </row>
    <row r="28" spans="1:49" s="1" customFormat="1" ht="13.15" customHeight="1" thickBot="1">
      <c r="A28" s="85">
        <f>A27+1</f>
        <v>8</v>
      </c>
      <c r="B28" s="86" t="s">
        <v>59</v>
      </c>
      <c r="C28" s="86"/>
      <c r="D28" s="87"/>
      <c r="E28" s="221"/>
      <c r="F28" s="290">
        <f>IF(E27=0,0,G28/E27)</f>
        <v>81.740057761253482</v>
      </c>
      <c r="G28" s="291">
        <f>SUM(G29:G46)</f>
        <v>615584.375</v>
      </c>
      <c r="H28" s="7"/>
      <c r="I28" s="90"/>
      <c r="J28" s="18"/>
      <c r="K28" s="18"/>
      <c r="L28" s="18"/>
      <c r="M28" s="18"/>
      <c r="N28" s="18"/>
      <c r="O28" s="18"/>
      <c r="P28" s="18"/>
      <c r="Q28" s="18"/>
      <c r="R28" s="17"/>
      <c r="S28" s="3"/>
      <c r="T28" s="18"/>
      <c r="U28" s="18"/>
      <c r="V28" s="18"/>
      <c r="W28" s="18"/>
      <c r="X28" s="18"/>
      <c r="Y28" s="18"/>
      <c r="Z28" s="18"/>
      <c r="AA28" s="18"/>
      <c r="AB28" s="18"/>
      <c r="AD28" s="18"/>
      <c r="AE28" s="18"/>
      <c r="AF28" s="18"/>
      <c r="AG28" s="18"/>
      <c r="AH28" s="18"/>
      <c r="AI28" s="18"/>
      <c r="AJ28" s="18"/>
      <c r="AK28" s="18"/>
      <c r="AL28" s="17"/>
      <c r="AM28"/>
      <c r="AN28"/>
      <c r="AO28"/>
      <c r="AP28"/>
      <c r="AQ28"/>
      <c r="AR28"/>
      <c r="AS28"/>
      <c r="AT28"/>
      <c r="AU28"/>
      <c r="AV28"/>
      <c r="AW28"/>
    </row>
    <row r="29" spans="1:49" ht="13.15" customHeight="1">
      <c r="A29" s="61" t="s">
        <v>229</v>
      </c>
      <c r="B29" s="62" t="s">
        <v>60</v>
      </c>
      <c r="C29" s="56"/>
      <c r="D29" s="57"/>
      <c r="E29" s="64" t="s">
        <v>61</v>
      </c>
      <c r="F29" s="289">
        <f>IF(E$27=0,0,G29/E$27)</f>
        <v>0.3585181250829903</v>
      </c>
      <c r="G29" s="288">
        <f ca="1">PERSONEL_MASZ!D75</f>
        <v>2700</v>
      </c>
      <c r="H29" s="7"/>
      <c r="I29" s="90"/>
      <c r="J29" s="18"/>
      <c r="K29" s="18"/>
      <c r="L29" s="18"/>
      <c r="M29" s="18"/>
      <c r="N29" s="18"/>
      <c r="O29" s="18"/>
      <c r="P29" s="18"/>
      <c r="Q29" s="18"/>
      <c r="R29" s="17"/>
      <c r="S29" s="3"/>
      <c r="T29" s="14"/>
      <c r="U29" s="14"/>
      <c r="V29" s="14"/>
      <c r="W29" s="14"/>
      <c r="X29" s="14"/>
      <c r="Y29" s="14"/>
      <c r="Z29" s="14"/>
      <c r="AA29" s="14"/>
      <c r="AB29" s="14"/>
      <c r="AD29" s="18"/>
      <c r="AE29" s="18"/>
      <c r="AF29" s="18"/>
      <c r="AG29" s="18"/>
      <c r="AH29" s="18"/>
      <c r="AI29" s="18"/>
      <c r="AJ29" s="18"/>
      <c r="AK29" s="18"/>
      <c r="AL29" s="17"/>
    </row>
    <row r="30" spans="1:49" ht="13.15" customHeight="1">
      <c r="A30" s="61" t="s">
        <v>230</v>
      </c>
      <c r="B30" s="62" t="s">
        <v>62</v>
      </c>
      <c r="C30" s="56"/>
      <c r="D30" s="57"/>
      <c r="E30" s="64" t="s">
        <v>44</v>
      </c>
      <c r="F30" s="289">
        <f t="shared" ref="F30:F46" si="0">IF(E$27=0,0,G30/E$27)</f>
        <v>0</v>
      </c>
      <c r="G30" s="69">
        <v>0</v>
      </c>
      <c r="H30" s="7"/>
      <c r="I30" s="90"/>
      <c r="J30" s="18"/>
      <c r="K30" s="18"/>
      <c r="L30" s="18"/>
      <c r="M30" s="18"/>
      <c r="N30" s="18"/>
      <c r="O30" s="18"/>
      <c r="P30" s="18"/>
      <c r="Q30" s="18"/>
      <c r="R30" s="17"/>
      <c r="S30" s="5"/>
      <c r="T30" s="14"/>
      <c r="U30" s="14"/>
      <c r="V30" s="14"/>
      <c r="W30" s="14"/>
      <c r="X30" s="14"/>
      <c r="Y30" s="14"/>
      <c r="Z30" s="14"/>
      <c r="AA30" s="14"/>
      <c r="AB30" s="14"/>
      <c r="AD30" s="18"/>
      <c r="AE30" s="18"/>
      <c r="AF30" s="18"/>
      <c r="AG30" s="18"/>
      <c r="AH30" s="18"/>
      <c r="AI30" s="18"/>
      <c r="AJ30" s="18"/>
      <c r="AK30" s="18"/>
      <c r="AL30" s="17"/>
    </row>
    <row r="31" spans="1:49" ht="13.15" customHeight="1">
      <c r="A31" s="61" t="s">
        <v>231</v>
      </c>
      <c r="B31" s="62" t="s">
        <v>63</v>
      </c>
      <c r="C31" s="56"/>
      <c r="D31" s="57"/>
      <c r="E31" s="64" t="s">
        <v>64</v>
      </c>
      <c r="F31" s="289">
        <f t="shared" si="0"/>
        <v>11.47258000265569</v>
      </c>
      <c r="G31" s="288">
        <f ca="1">PERSONEL_MASZ!I9</f>
        <v>86400</v>
      </c>
      <c r="H31" s="7"/>
      <c r="I31" s="24"/>
      <c r="J31" s="18"/>
      <c r="K31" s="18"/>
      <c r="L31" s="18"/>
      <c r="M31" s="18"/>
      <c r="N31" s="18"/>
      <c r="O31" s="18"/>
      <c r="P31" s="18"/>
      <c r="Q31" s="18"/>
      <c r="R31" s="17"/>
      <c r="S31" s="5"/>
      <c r="T31" s="14"/>
      <c r="U31" s="14"/>
      <c r="V31" s="14"/>
      <c r="W31" s="14"/>
      <c r="X31" s="14"/>
      <c r="Y31" s="14"/>
      <c r="Z31" s="14"/>
      <c r="AA31" s="14"/>
      <c r="AB31" s="14"/>
      <c r="AD31" s="18"/>
      <c r="AE31" s="18"/>
      <c r="AF31" s="18"/>
      <c r="AG31" s="18"/>
      <c r="AH31" s="18"/>
      <c r="AI31" s="18"/>
      <c r="AJ31" s="18"/>
      <c r="AK31" s="18"/>
      <c r="AL31" s="17"/>
    </row>
    <row r="32" spans="1:49" ht="13.15" customHeight="1">
      <c r="A32" s="61" t="s">
        <v>232</v>
      </c>
      <c r="B32" s="62" t="s">
        <v>66</v>
      </c>
      <c r="C32" s="56"/>
      <c r="D32" s="57"/>
      <c r="E32" s="64" t="s">
        <v>171</v>
      </c>
      <c r="F32" s="289">
        <f t="shared" si="0"/>
        <v>0</v>
      </c>
      <c r="G32" s="288">
        <f ca="1">PERSONEL_MASZ!I10</f>
        <v>0</v>
      </c>
      <c r="H32" s="7"/>
      <c r="I32" s="91"/>
      <c r="J32" s="18"/>
      <c r="K32" s="18"/>
      <c r="L32" s="18"/>
      <c r="M32" s="18"/>
      <c r="N32" s="18"/>
      <c r="O32" s="18"/>
      <c r="P32" s="18"/>
      <c r="Q32" s="18"/>
      <c r="R32" s="17"/>
      <c r="S32" s="5"/>
      <c r="T32" s="15"/>
      <c r="U32" s="16"/>
      <c r="V32" s="16"/>
      <c r="W32" s="17"/>
      <c r="X32" s="16"/>
      <c r="Y32" s="17"/>
      <c r="Z32" s="16"/>
      <c r="AA32" s="18"/>
      <c r="AB32" s="16"/>
      <c r="AD32" s="18"/>
      <c r="AE32" s="18"/>
      <c r="AF32" s="18"/>
      <c r="AG32" s="18"/>
      <c r="AH32" s="18"/>
      <c r="AI32" s="18"/>
      <c r="AJ32" s="18"/>
      <c r="AK32" s="18"/>
      <c r="AL32" s="17"/>
    </row>
    <row r="33" spans="1:38" ht="13.15" customHeight="1">
      <c r="A33" s="61" t="s">
        <v>233</v>
      </c>
      <c r="B33" s="62" t="s">
        <v>67</v>
      </c>
      <c r="C33" s="56"/>
      <c r="D33" s="57"/>
      <c r="E33" s="63"/>
      <c r="F33" s="289">
        <f t="shared" si="0"/>
        <v>3.386004514672686</v>
      </c>
      <c r="G33" s="288">
        <f ca="1">PERSONEL_MASZ!I31</f>
        <v>25500</v>
      </c>
      <c r="H33" s="7"/>
      <c r="I33" s="90"/>
      <c r="J33" s="18"/>
      <c r="K33" s="18"/>
      <c r="L33" s="18"/>
      <c r="M33" s="18"/>
      <c r="N33" s="18"/>
      <c r="O33" s="18"/>
      <c r="P33" s="18"/>
      <c r="Q33" s="18"/>
      <c r="R33" s="17"/>
      <c r="S33" s="1"/>
      <c r="T33" s="14"/>
      <c r="U33" s="19"/>
      <c r="V33" s="19"/>
      <c r="W33" s="20"/>
      <c r="X33" s="19"/>
      <c r="Y33" s="20"/>
      <c r="Z33" s="19"/>
      <c r="AA33" s="19"/>
      <c r="AB33" s="19"/>
      <c r="AD33" s="18"/>
      <c r="AE33" s="18"/>
      <c r="AF33" s="18"/>
      <c r="AG33" s="18"/>
      <c r="AH33" s="18"/>
      <c r="AI33" s="18"/>
      <c r="AJ33" s="18"/>
      <c r="AK33" s="18"/>
      <c r="AL33" s="17"/>
    </row>
    <row r="34" spans="1:38" ht="13.15" customHeight="1">
      <c r="A34" s="61" t="s">
        <v>234</v>
      </c>
      <c r="B34" s="73" t="s">
        <v>150</v>
      </c>
      <c r="C34" s="56"/>
      <c r="D34" s="57"/>
      <c r="E34" s="63"/>
      <c r="F34" s="289">
        <f t="shared" si="0"/>
        <v>2.6556898154295578</v>
      </c>
      <c r="G34" s="288">
        <f ca="1">URZ_DOD!I10</f>
        <v>20000</v>
      </c>
      <c r="H34" s="7"/>
      <c r="I34" s="90"/>
      <c r="J34" s="18"/>
      <c r="K34" s="18"/>
      <c r="L34" s="18"/>
      <c r="M34" s="18"/>
      <c r="N34" s="18"/>
      <c r="O34" s="18"/>
      <c r="P34" s="18"/>
      <c r="Q34" s="18"/>
      <c r="R34" s="17"/>
      <c r="AD34" s="18"/>
      <c r="AE34" s="18"/>
      <c r="AF34" s="18"/>
      <c r="AG34" s="18"/>
      <c r="AH34" s="18"/>
      <c r="AI34" s="18"/>
      <c r="AJ34" s="18"/>
      <c r="AK34" s="18"/>
      <c r="AL34" s="17"/>
    </row>
    <row r="35" spans="1:38" ht="13.15" customHeight="1">
      <c r="A35" s="61" t="s">
        <v>235</v>
      </c>
      <c r="B35" s="62" t="s">
        <v>68</v>
      </c>
      <c r="C35" s="56"/>
      <c r="D35" s="57"/>
      <c r="E35" s="63"/>
      <c r="F35" s="289">
        <f t="shared" si="0"/>
        <v>0.79670694462886738</v>
      </c>
      <c r="G35" s="288">
        <f ca="1">URZ_DOD!K10</f>
        <v>6000</v>
      </c>
      <c r="H35" s="7"/>
      <c r="I35" s="90"/>
      <c r="J35" s="18"/>
      <c r="K35" s="18"/>
      <c r="L35" s="18"/>
      <c r="M35" s="18"/>
      <c r="N35" s="18"/>
      <c r="O35" s="18"/>
      <c r="P35" s="18"/>
      <c r="Q35" s="18"/>
      <c r="R35" s="17"/>
      <c r="AD35" s="18"/>
      <c r="AE35" s="18"/>
      <c r="AF35" s="18"/>
      <c r="AG35" s="18"/>
      <c r="AH35" s="18"/>
      <c r="AI35" s="18"/>
      <c r="AJ35" s="18"/>
      <c r="AK35" s="18"/>
      <c r="AL35" s="17"/>
    </row>
    <row r="36" spans="1:38" ht="13.15" customHeight="1">
      <c r="A36" s="61" t="s">
        <v>236</v>
      </c>
      <c r="B36" s="62" t="s">
        <v>69</v>
      </c>
      <c r="C36" s="56"/>
      <c r="D36" s="57"/>
      <c r="E36" s="63"/>
      <c r="F36" s="289">
        <f t="shared" si="0"/>
        <v>16.465276855663259</v>
      </c>
      <c r="G36" s="297">
        <f ca="1">ŚROD_NAT!H24</f>
        <v>124000</v>
      </c>
      <c r="H36" s="3"/>
      <c r="I36" s="90"/>
      <c r="J36" s="18"/>
      <c r="K36" s="18"/>
      <c r="L36" s="18"/>
      <c r="M36" s="18"/>
      <c r="N36" s="18"/>
      <c r="O36" s="18"/>
      <c r="P36" s="18"/>
      <c r="Q36" s="18"/>
      <c r="R36" s="17"/>
      <c r="AD36" s="18"/>
      <c r="AE36" s="18"/>
      <c r="AF36" s="18"/>
      <c r="AG36" s="18"/>
      <c r="AH36" s="18"/>
      <c r="AI36" s="18"/>
      <c r="AJ36" s="18"/>
      <c r="AK36" s="18"/>
      <c r="AL36" s="17"/>
    </row>
    <row r="37" spans="1:38" ht="13.15" customHeight="1">
      <c r="A37" s="61" t="s">
        <v>237</v>
      </c>
      <c r="B37" s="62" t="s">
        <v>70</v>
      </c>
      <c r="C37" s="56"/>
      <c r="D37" s="57"/>
      <c r="E37" s="63"/>
      <c r="F37" s="289">
        <f t="shared" si="0"/>
        <v>0.26556898154295577</v>
      </c>
      <c r="G37" s="414">
        <v>2000</v>
      </c>
      <c r="H37" s="7"/>
      <c r="I37" s="90"/>
      <c r="J37" s="18"/>
      <c r="K37" s="18"/>
      <c r="L37" s="18"/>
      <c r="M37" s="18"/>
      <c r="N37" s="18"/>
      <c r="O37" s="18"/>
      <c r="P37" s="18"/>
      <c r="Q37" s="18"/>
      <c r="R37" s="17"/>
      <c r="AD37" s="18"/>
      <c r="AE37" s="18"/>
      <c r="AF37" s="18"/>
      <c r="AG37" s="18"/>
      <c r="AH37" s="18"/>
      <c r="AI37" s="18"/>
      <c r="AJ37" s="18"/>
      <c r="AK37" s="18"/>
      <c r="AL37" s="17"/>
    </row>
    <row r="38" spans="1:38" ht="13.15" customHeight="1">
      <c r="A38" s="61" t="s">
        <v>238</v>
      </c>
      <c r="B38" s="62" t="s">
        <v>71</v>
      </c>
      <c r="C38" s="56"/>
      <c r="D38" s="57"/>
      <c r="E38" s="63"/>
      <c r="F38" s="289">
        <f t="shared" si="0"/>
        <v>7.3031469924312837</v>
      </c>
      <c r="G38" s="414">
        <v>55000</v>
      </c>
      <c r="H38" s="7"/>
      <c r="I38" s="90"/>
      <c r="J38" s="18"/>
      <c r="K38" s="18"/>
      <c r="L38" s="18"/>
      <c r="M38" s="18"/>
      <c r="N38" s="18"/>
      <c r="O38" s="18"/>
      <c r="P38" s="18"/>
      <c r="Q38" s="18"/>
      <c r="R38" s="17"/>
      <c r="AD38" s="18"/>
      <c r="AE38" s="18"/>
      <c r="AF38" s="18"/>
      <c r="AG38" s="18"/>
      <c r="AH38" s="18"/>
      <c r="AI38" s="18"/>
      <c r="AJ38" s="18"/>
      <c r="AK38" s="18"/>
      <c r="AL38" s="17"/>
    </row>
    <row r="39" spans="1:38" ht="13.15" customHeight="1">
      <c r="A39" s="61" t="s">
        <v>239</v>
      </c>
      <c r="B39" s="62" t="s">
        <v>170</v>
      </c>
      <c r="C39" s="56"/>
      <c r="D39" s="57"/>
      <c r="E39" s="63"/>
      <c r="F39" s="289">
        <f t="shared" si="0"/>
        <v>3.585181250829903</v>
      </c>
      <c r="G39" s="288">
        <f ca="1">PERSONEL_MASZ!I14</f>
        <v>27000</v>
      </c>
      <c r="H39" s="7"/>
      <c r="I39" s="90"/>
      <c r="J39" s="18"/>
      <c r="K39" s="18"/>
      <c r="L39" s="18"/>
      <c r="M39" s="18"/>
      <c r="N39" s="18"/>
      <c r="O39" s="18"/>
      <c r="P39" s="18"/>
      <c r="Q39" s="18"/>
      <c r="R39" s="17"/>
      <c r="AD39" s="18"/>
      <c r="AE39" s="18"/>
      <c r="AF39" s="18"/>
      <c r="AG39" s="18"/>
      <c r="AH39" s="18"/>
      <c r="AI39" s="18"/>
      <c r="AJ39" s="18"/>
      <c r="AK39" s="18"/>
      <c r="AL39" s="17"/>
    </row>
    <row r="40" spans="1:38" ht="13.15" customHeight="1">
      <c r="A40" s="61" t="s">
        <v>240</v>
      </c>
      <c r="B40" s="62" t="s">
        <v>72</v>
      </c>
      <c r="C40" s="56"/>
      <c r="D40" s="57"/>
      <c r="E40" s="63"/>
      <c r="F40" s="289">
        <f t="shared" si="0"/>
        <v>4.2491037046872924</v>
      </c>
      <c r="G40" s="288">
        <f ca="1">MAGA_OBCE!I23</f>
        <v>32000</v>
      </c>
      <c r="H40" s="7"/>
      <c r="I40" s="90"/>
      <c r="J40" s="18"/>
      <c r="K40" s="18"/>
      <c r="L40" s="18"/>
      <c r="M40" s="18"/>
      <c r="N40" s="18"/>
      <c r="O40" s="18"/>
      <c r="P40" s="18"/>
      <c r="Q40" s="18"/>
      <c r="R40" s="17"/>
      <c r="AD40" s="18"/>
      <c r="AE40" s="18"/>
      <c r="AF40" s="18"/>
      <c r="AG40" s="18"/>
      <c r="AH40" s="18"/>
      <c r="AI40" s="18"/>
      <c r="AJ40" s="18"/>
      <c r="AK40" s="18"/>
      <c r="AL40" s="17"/>
    </row>
    <row r="41" spans="1:38" ht="13.15" customHeight="1">
      <c r="A41" s="61" t="s">
        <v>241</v>
      </c>
      <c r="B41" s="62" t="s">
        <v>73</v>
      </c>
      <c r="C41" s="56"/>
      <c r="D41" s="57"/>
      <c r="E41" s="63"/>
      <c r="F41" s="289">
        <f t="shared" si="0"/>
        <v>0.61412826981808522</v>
      </c>
      <c r="G41" s="288">
        <f ca="1">URZ_DOD!F15+URZ_DOD!M10</f>
        <v>4625</v>
      </c>
      <c r="H41" s="7"/>
      <c r="I41" s="90"/>
      <c r="J41" s="18"/>
      <c r="K41" s="18"/>
      <c r="L41" s="18"/>
      <c r="M41" s="18"/>
      <c r="N41" s="18"/>
      <c r="O41" s="18"/>
      <c r="P41" s="18"/>
      <c r="Q41" s="18"/>
      <c r="R41" s="17"/>
      <c r="AD41" s="18"/>
      <c r="AE41" s="18"/>
      <c r="AF41" s="18"/>
      <c r="AG41" s="18"/>
      <c r="AH41" s="18"/>
      <c r="AI41" s="18"/>
      <c r="AJ41" s="18"/>
      <c r="AK41" s="18"/>
      <c r="AL41" s="17"/>
    </row>
    <row r="42" spans="1:38" ht="13.15" customHeight="1">
      <c r="A42" s="61" t="s">
        <v>242</v>
      </c>
      <c r="B42" s="62" t="s">
        <v>74</v>
      </c>
      <c r="C42" s="56"/>
      <c r="D42" s="57"/>
      <c r="E42" s="63"/>
      <c r="F42" s="289">
        <f t="shared" si="0"/>
        <v>3.8984696587438585</v>
      </c>
      <c r="G42" s="288">
        <f ca="1">PERSONEL_MASZ!D32*PERSONEL_MASZ!D37+PERSONEL_MASZ!D51*PERSONEL_MASZ!D55-CENA!E9*CENA!F13-CENA!E18*CENA!F21</f>
        <v>29359.375</v>
      </c>
      <c r="H42" s="7"/>
      <c r="I42" s="91"/>
      <c r="J42" s="18"/>
      <c r="K42" s="18"/>
      <c r="L42" s="16"/>
      <c r="M42" s="18"/>
      <c r="N42" s="18"/>
      <c r="O42" s="18"/>
      <c r="P42" s="18"/>
      <c r="Q42" s="18"/>
      <c r="R42" s="17"/>
      <c r="AD42" s="18"/>
      <c r="AE42" s="18"/>
      <c r="AF42" s="18"/>
      <c r="AG42" s="18"/>
      <c r="AH42" s="18"/>
      <c r="AI42" s="18"/>
      <c r="AJ42" s="18"/>
      <c r="AK42" s="18"/>
      <c r="AL42" s="17"/>
    </row>
    <row r="43" spans="1:38" ht="13.15" customHeight="1">
      <c r="A43" s="61" t="s">
        <v>243</v>
      </c>
      <c r="B43" s="62" t="s">
        <v>173</v>
      </c>
      <c r="C43" s="56"/>
      <c r="D43" s="57"/>
      <c r="E43" s="63"/>
      <c r="F43" s="289">
        <f t="shared" si="0"/>
        <v>0</v>
      </c>
      <c r="G43" s="288">
        <f ca="1">ŚROD_NAT!H26</f>
        <v>0</v>
      </c>
      <c r="H43" s="7"/>
      <c r="I43" s="90"/>
      <c r="J43" s="18"/>
      <c r="K43" s="18"/>
      <c r="L43" s="18"/>
      <c r="M43" s="18"/>
      <c r="N43" s="18"/>
      <c r="O43" s="18"/>
      <c r="P43" s="18"/>
      <c r="Q43" s="18"/>
      <c r="R43" s="17"/>
      <c r="AD43" s="18"/>
      <c r="AE43" s="18"/>
      <c r="AF43" s="18"/>
      <c r="AG43" s="18"/>
      <c r="AH43" s="18"/>
      <c r="AI43" s="18"/>
      <c r="AJ43" s="18"/>
      <c r="AK43" s="18"/>
      <c r="AL43" s="17"/>
    </row>
    <row r="44" spans="1:38" ht="13.15" customHeight="1">
      <c r="A44" s="61" t="s">
        <v>244</v>
      </c>
      <c r="B44" s="62" t="s">
        <v>166</v>
      </c>
      <c r="C44" s="56"/>
      <c r="D44" s="57"/>
      <c r="E44" s="63"/>
      <c r="F44" s="289">
        <f t="shared" si="0"/>
        <v>0.13278449077147789</v>
      </c>
      <c r="G44" s="69">
        <v>1000</v>
      </c>
      <c r="H44" s="7"/>
      <c r="I44" s="90"/>
      <c r="J44" s="18"/>
      <c r="K44" s="18"/>
      <c r="L44" s="18"/>
      <c r="M44" s="18"/>
      <c r="N44" s="18"/>
      <c r="O44" s="18"/>
      <c r="P44" s="18"/>
      <c r="Q44" s="18"/>
      <c r="R44" s="17"/>
      <c r="AD44" s="18"/>
      <c r="AE44" s="18"/>
      <c r="AF44" s="18"/>
      <c r="AG44" s="18"/>
      <c r="AH44" s="18"/>
      <c r="AI44" s="18"/>
      <c r="AJ44" s="18"/>
      <c r="AK44" s="18"/>
      <c r="AL44" s="17"/>
    </row>
    <row r="45" spans="1:38" ht="13.15" customHeight="1">
      <c r="A45" s="61" t="s">
        <v>245</v>
      </c>
      <c r="B45" s="62" t="s">
        <v>75</v>
      </c>
      <c r="C45" s="56"/>
      <c r="D45" s="57"/>
      <c r="E45" s="63"/>
      <c r="F45" s="289">
        <f t="shared" si="0"/>
        <v>26.556898154295578</v>
      </c>
      <c r="G45" s="69">
        <v>200000</v>
      </c>
      <c r="H45" s="7"/>
      <c r="I45" s="90"/>
      <c r="J45" s="18"/>
      <c r="K45" s="18"/>
      <c r="L45" s="18"/>
      <c r="M45" s="18"/>
      <c r="N45" s="18"/>
      <c r="O45" s="18"/>
      <c r="P45" s="18"/>
      <c r="Q45" s="18"/>
      <c r="R45" s="17"/>
      <c r="AD45" s="18"/>
      <c r="AE45" s="18"/>
      <c r="AF45" s="18"/>
      <c r="AG45" s="18"/>
      <c r="AH45" s="18"/>
      <c r="AI45" s="18"/>
      <c r="AJ45" s="18"/>
      <c r="AK45" s="18"/>
      <c r="AL45" s="17"/>
    </row>
    <row r="46" spans="1:38" ht="13.15" customHeight="1" thickBot="1">
      <c r="A46" s="65" t="s">
        <v>246</v>
      </c>
      <c r="B46" s="66" t="s">
        <v>167</v>
      </c>
      <c r="C46" s="59"/>
      <c r="D46" s="60"/>
      <c r="E46" s="63"/>
      <c r="F46" s="289">
        <f t="shared" si="0"/>
        <v>0</v>
      </c>
      <c r="G46" s="255">
        <v>0</v>
      </c>
      <c r="H46" s="7"/>
      <c r="I46" s="90"/>
      <c r="J46" s="18"/>
      <c r="K46" s="18"/>
      <c r="L46" s="18"/>
      <c r="M46" s="18"/>
      <c r="N46" s="18"/>
      <c r="O46" s="18"/>
      <c r="P46" s="18"/>
      <c r="Q46" s="18"/>
      <c r="R46" s="17"/>
      <c r="AD46" s="18"/>
      <c r="AE46" s="18"/>
      <c r="AF46" s="18"/>
      <c r="AG46" s="18"/>
      <c r="AH46" s="18"/>
      <c r="AI46" s="18"/>
      <c r="AJ46" s="18"/>
      <c r="AK46" s="18"/>
      <c r="AL46" s="17"/>
    </row>
    <row r="47" spans="1:38" ht="13.15" customHeight="1" thickBot="1">
      <c r="A47" s="85">
        <v>9</v>
      </c>
      <c r="B47" s="86" t="s">
        <v>76</v>
      </c>
      <c r="C47" s="86"/>
      <c r="D47" s="87"/>
      <c r="E47" s="221"/>
      <c r="F47" s="290">
        <f>IF(E27=0,0,G47/E27)</f>
        <v>94.670694462886729</v>
      </c>
      <c r="G47" s="293">
        <f>SUM(G49,G48)</f>
        <v>712965</v>
      </c>
      <c r="H47" s="7"/>
      <c r="I47" s="90"/>
      <c r="J47" s="18"/>
      <c r="K47" s="18"/>
      <c r="L47" s="18"/>
      <c r="M47" s="18"/>
      <c r="N47" s="18"/>
      <c r="O47" s="18"/>
      <c r="P47" s="18"/>
      <c r="Q47" s="18"/>
      <c r="R47" s="17"/>
      <c r="AD47" s="18"/>
      <c r="AE47" s="18"/>
      <c r="AF47" s="18"/>
      <c r="AG47" s="18"/>
      <c r="AH47" s="18"/>
      <c r="AI47" s="18"/>
      <c r="AJ47" s="18"/>
      <c r="AK47" s="18"/>
      <c r="AL47" s="17"/>
    </row>
    <row r="48" spans="1:38" ht="13.15" customHeight="1">
      <c r="A48" s="61" t="s">
        <v>247</v>
      </c>
      <c r="B48" s="62" t="s">
        <v>77</v>
      </c>
      <c r="C48" s="56"/>
      <c r="D48" s="57"/>
      <c r="E48" s="63"/>
      <c r="F48" s="289">
        <f>IF(E27=0,0,G48/E27)</f>
        <v>79.670694462886729</v>
      </c>
      <c r="G48" s="414">
        <v>600000</v>
      </c>
      <c r="H48" s="7"/>
      <c r="I48" s="90"/>
      <c r="J48" s="18"/>
      <c r="K48" s="18"/>
      <c r="L48" s="18"/>
      <c r="M48" s="18"/>
      <c r="N48" s="18"/>
      <c r="O48" s="18"/>
      <c r="P48" s="18"/>
      <c r="Q48" s="18"/>
      <c r="R48" s="17"/>
      <c r="AD48" s="18"/>
      <c r="AE48" s="18"/>
      <c r="AF48" s="18"/>
      <c r="AG48" s="18"/>
      <c r="AH48" s="18"/>
      <c r="AI48" s="18"/>
      <c r="AJ48" s="18"/>
      <c r="AK48" s="18"/>
      <c r="AL48" s="17"/>
    </row>
    <row r="49" spans="1:38" ht="13.15" customHeight="1" thickBot="1">
      <c r="A49" s="65" t="s">
        <v>248</v>
      </c>
      <c r="B49" s="66" t="s">
        <v>78</v>
      </c>
      <c r="C49" s="59"/>
      <c r="D49" s="60"/>
      <c r="E49" s="63"/>
      <c r="F49" s="68">
        <v>15</v>
      </c>
      <c r="G49" s="291">
        <f>E27*F49</f>
        <v>112965</v>
      </c>
      <c r="H49" s="7"/>
      <c r="I49" s="90"/>
      <c r="J49" s="18"/>
      <c r="K49" s="18"/>
      <c r="L49" s="18"/>
      <c r="M49" s="18"/>
      <c r="N49" s="18"/>
      <c r="O49" s="18"/>
      <c r="P49" s="18"/>
      <c r="Q49" s="18"/>
      <c r="R49" s="17"/>
      <c r="AD49" s="18"/>
      <c r="AE49" s="18"/>
      <c r="AF49" s="18"/>
      <c r="AG49" s="18"/>
      <c r="AH49" s="18"/>
      <c r="AI49" s="18"/>
      <c r="AJ49" s="18"/>
      <c r="AK49" s="18"/>
      <c r="AL49" s="17"/>
    </row>
    <row r="50" spans="1:38" ht="13.15" customHeight="1" thickBot="1">
      <c r="A50" s="70">
        <f>A47+1</f>
        <v>10</v>
      </c>
      <c r="B50" s="71" t="s">
        <v>79</v>
      </c>
      <c r="C50" s="71"/>
      <c r="D50" s="72"/>
      <c r="E50" s="74"/>
      <c r="F50" s="290">
        <f>IF(E$27=0,0,G50/E$27)</f>
        <v>735.28507632148489</v>
      </c>
      <c r="G50" s="291">
        <f>SUM(G47,G28,G27)</f>
        <v>5537431.909777103</v>
      </c>
      <c r="H50" s="222" t="s">
        <v>249</v>
      </c>
      <c r="I50" s="90"/>
      <c r="J50" s="18"/>
      <c r="K50" s="18"/>
      <c r="L50" s="18"/>
      <c r="M50" s="18"/>
      <c r="N50" s="18"/>
      <c r="O50" s="18"/>
      <c r="P50" s="18"/>
      <c r="Q50" s="18"/>
      <c r="R50" s="17"/>
      <c r="AD50" s="18"/>
      <c r="AE50" s="18"/>
      <c r="AF50" s="18"/>
      <c r="AG50" s="18"/>
      <c r="AH50" s="18"/>
      <c r="AI50" s="18"/>
      <c r="AJ50" s="18"/>
      <c r="AK50" s="18"/>
      <c r="AL50" s="17"/>
    </row>
    <row r="51" spans="1:38" ht="13.15" customHeight="1" thickBot="1">
      <c r="A51" s="61">
        <f t="shared" ref="A51:A59" si="1">A50+1</f>
        <v>11</v>
      </c>
      <c r="B51" s="56" t="s">
        <v>80</v>
      </c>
      <c r="C51" s="56"/>
      <c r="D51" s="57"/>
      <c r="E51" s="63"/>
      <c r="F51" s="290">
        <f>IF(E$27=0,0,G51/E$27)</f>
        <v>47.802691541627937</v>
      </c>
      <c r="G51" s="288">
        <f ca="1">KREDYTY!H18</f>
        <v>360002.07</v>
      </c>
      <c r="H51" s="7"/>
      <c r="I51" s="90"/>
      <c r="J51" s="18"/>
      <c r="K51" s="18"/>
      <c r="L51" s="18"/>
      <c r="M51" s="18"/>
      <c r="N51" s="18"/>
      <c r="O51" s="18"/>
      <c r="P51" s="18"/>
      <c r="Q51" s="18"/>
      <c r="R51" s="17"/>
      <c r="AD51" s="18"/>
      <c r="AE51" s="18"/>
      <c r="AF51" s="18"/>
      <c r="AG51" s="18"/>
      <c r="AH51" s="18"/>
      <c r="AI51" s="18"/>
      <c r="AJ51" s="18"/>
      <c r="AK51" s="18"/>
      <c r="AL51" s="17"/>
    </row>
    <row r="52" spans="1:38" ht="13.15" customHeight="1" thickBot="1">
      <c r="A52" s="61">
        <f t="shared" si="1"/>
        <v>12</v>
      </c>
      <c r="B52" s="56" t="s">
        <v>81</v>
      </c>
      <c r="C52" s="56"/>
      <c r="D52" s="57"/>
      <c r="E52" s="75"/>
      <c r="F52" s="290">
        <f>IF(E$27=0,0,G52/E$27)</f>
        <v>0</v>
      </c>
      <c r="G52" s="69">
        <v>0</v>
      </c>
      <c r="H52" s="7"/>
      <c r="I52" s="90"/>
      <c r="J52" s="18"/>
      <c r="K52" s="18"/>
      <c r="L52" s="18"/>
      <c r="M52" s="18"/>
      <c r="N52" s="18"/>
      <c r="O52" s="18"/>
      <c r="P52" s="18"/>
      <c r="Q52" s="18"/>
      <c r="R52" s="17"/>
      <c r="AD52" s="18"/>
      <c r="AE52" s="18"/>
      <c r="AF52" s="18"/>
      <c r="AG52" s="18"/>
      <c r="AH52" s="18"/>
      <c r="AI52" s="18"/>
      <c r="AJ52" s="18"/>
      <c r="AK52" s="18"/>
      <c r="AL52" s="17"/>
    </row>
    <row r="53" spans="1:38" ht="13.15" customHeight="1">
      <c r="A53" s="61">
        <f t="shared" si="1"/>
        <v>13</v>
      </c>
      <c r="B53" s="56" t="s">
        <v>82</v>
      </c>
      <c r="C53" s="56"/>
      <c r="D53" s="57"/>
      <c r="E53" s="75"/>
      <c r="F53" s="289">
        <f>IF(E$27=0,0,G53/E$27)</f>
        <v>-3.0530434521438408</v>
      </c>
      <c r="G53" s="288">
        <f ca="1">PRZP_PIEN!F8-PÓŁFA_EWID!G44</f>
        <v>-22992.470238095266</v>
      </c>
      <c r="H53" s="433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AD53" s="18"/>
      <c r="AE53" s="18"/>
      <c r="AF53" s="18"/>
      <c r="AG53" s="18"/>
      <c r="AH53" s="18"/>
      <c r="AI53" s="18"/>
      <c r="AJ53" s="18"/>
      <c r="AK53" s="18"/>
      <c r="AL53" s="17"/>
    </row>
    <row r="54" spans="1:38" ht="13.15" customHeight="1">
      <c r="A54" s="61">
        <f t="shared" si="1"/>
        <v>14</v>
      </c>
      <c r="B54" s="56" t="s">
        <v>83</v>
      </c>
      <c r="C54" s="56"/>
      <c r="D54" s="57"/>
      <c r="E54" s="75"/>
      <c r="F54" s="289">
        <f t="shared" ref="F54:F59" si="2">IF(E$27=0,0,G54/E$27)</f>
        <v>-8.9519167763885132</v>
      </c>
      <c r="G54" s="288">
        <f ca="1">PRZP_PIEN!F7-WYR_EWID!G43</f>
        <v>-67416.885242981894</v>
      </c>
      <c r="H54" s="435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AD54" s="27"/>
      <c r="AE54" s="27"/>
      <c r="AF54" s="27"/>
      <c r="AG54" s="27"/>
      <c r="AH54" s="27"/>
      <c r="AI54" s="27"/>
      <c r="AJ54" s="27"/>
      <c r="AK54" s="27"/>
      <c r="AL54" s="32"/>
    </row>
    <row r="55" spans="1:38" ht="13.15" customHeight="1">
      <c r="A55" s="61">
        <f t="shared" si="1"/>
        <v>15</v>
      </c>
      <c r="B55" s="56" t="s">
        <v>84</v>
      </c>
      <c r="C55" s="56"/>
      <c r="D55" s="57"/>
      <c r="E55" s="57"/>
      <c r="F55" s="289">
        <f t="shared" si="2"/>
        <v>-17.265049914897208</v>
      </c>
      <c r="G55" s="288">
        <f ca="1">(PRZP_PIEN!F9-MATERIAŁY!D36)+(PRZP_PIEN!F10-MATERIAŁY!D58)</f>
        <v>-130023.09090909088</v>
      </c>
      <c r="H55" s="7"/>
      <c r="I55" s="90"/>
      <c r="J55" s="27"/>
      <c r="K55" s="27"/>
      <c r="L55" s="27"/>
      <c r="M55" s="27"/>
      <c r="N55" s="27"/>
      <c r="O55" s="27"/>
      <c r="P55" s="27"/>
      <c r="Q55" s="27"/>
      <c r="R55" s="17"/>
      <c r="AD55" s="27"/>
      <c r="AE55" s="27"/>
      <c r="AF55" s="27"/>
      <c r="AG55" s="27"/>
      <c r="AH55" s="27"/>
      <c r="AI55" s="27"/>
      <c r="AJ55" s="27"/>
      <c r="AK55" s="27"/>
      <c r="AL55" s="17"/>
    </row>
    <row r="56" spans="1:38" ht="13.15" customHeight="1" thickBot="1">
      <c r="A56" s="65">
        <f t="shared" si="1"/>
        <v>16</v>
      </c>
      <c r="B56" s="59" t="s">
        <v>178</v>
      </c>
      <c r="C56" s="59"/>
      <c r="D56" s="60"/>
      <c r="E56" s="67"/>
      <c r="F56" s="289">
        <f t="shared" si="2"/>
        <v>-2.4211924047271278</v>
      </c>
      <c r="G56" s="291">
        <f ca="1">PERSONEL_MASZ!I19-PERSONEL_MASZ!I17</f>
        <v>-18234</v>
      </c>
      <c r="H56" s="7"/>
      <c r="I56" s="24"/>
    </row>
    <row r="57" spans="1:38" ht="13.15" customHeight="1" thickBot="1">
      <c r="A57" s="76">
        <f t="shared" si="1"/>
        <v>17</v>
      </c>
      <c r="B57" s="77" t="s">
        <v>85</v>
      </c>
      <c r="C57" s="77"/>
      <c r="D57" s="78"/>
      <c r="E57" s="79"/>
      <c r="F57" s="289">
        <f t="shared" si="2"/>
        <v>814.7789704112696</v>
      </c>
      <c r="G57" s="291">
        <f>G50+G51-G52-G53-G54-G55-G56</f>
        <v>6136100.4261672711</v>
      </c>
      <c r="H57" s="7"/>
      <c r="I57" s="11"/>
      <c r="J57" s="25"/>
      <c r="K57" s="25"/>
    </row>
    <row r="58" spans="1:38" ht="13.15" customHeight="1" thickBot="1">
      <c r="A58" s="256">
        <f t="shared" si="1"/>
        <v>18</v>
      </c>
      <c r="B58" s="257" t="s">
        <v>168</v>
      </c>
      <c r="C58" s="257"/>
      <c r="D58" s="258"/>
      <c r="E58" s="259"/>
      <c r="F58" s="413">
        <v>830</v>
      </c>
      <c r="G58" s="291">
        <f>F58*E27</f>
        <v>6250730</v>
      </c>
      <c r="H58" s="4"/>
      <c r="I58" s="11"/>
      <c r="J58" s="25"/>
      <c r="K58" s="25"/>
    </row>
    <row r="59" spans="1:38" ht="13.15" customHeight="1" thickBot="1">
      <c r="A59" s="65">
        <f t="shared" si="1"/>
        <v>19</v>
      </c>
      <c r="B59" s="59" t="s">
        <v>169</v>
      </c>
      <c r="C59" s="59"/>
      <c r="D59" s="60"/>
      <c r="E59" s="67"/>
      <c r="F59" s="289">
        <f t="shared" si="2"/>
        <v>15.221029588730435</v>
      </c>
      <c r="G59" s="291">
        <f>G58-G57</f>
        <v>114629.5738327289</v>
      </c>
      <c r="H59" s="3"/>
      <c r="I59" s="11"/>
      <c r="J59" s="25"/>
      <c r="K59" s="25"/>
    </row>
    <row r="60" spans="1:38" ht="13.15" customHeight="1">
      <c r="A60" s="400">
        <v>20</v>
      </c>
      <c r="B60" s="88" t="s">
        <v>452</v>
      </c>
      <c r="C60" s="88"/>
      <c r="D60" s="88"/>
      <c r="E60" s="88"/>
      <c r="F60" s="88"/>
      <c r="G60" s="401">
        <f>G59*0.6</f>
        <v>68777.744299637343</v>
      </c>
      <c r="H60" s="3"/>
      <c r="I60" s="25"/>
      <c r="J60" s="25"/>
      <c r="K60" s="25"/>
    </row>
    <row r="61" spans="1:38" ht="13.15" customHeight="1">
      <c r="A61" s="88"/>
      <c r="B61" s="88"/>
      <c r="C61" s="398"/>
      <c r="D61" s="88"/>
      <c r="E61" s="88"/>
      <c r="F61" s="88"/>
      <c r="G61" s="88"/>
      <c r="I61" s="25"/>
      <c r="J61" s="25"/>
      <c r="K61" s="25"/>
    </row>
    <row r="62" spans="1:38" ht="13.15" customHeight="1">
      <c r="I62" s="25"/>
      <c r="J62" s="25"/>
      <c r="K62" s="25"/>
    </row>
    <row r="63" spans="1:38" ht="13.15" customHeight="1">
      <c r="A63" s="11"/>
      <c r="B63" s="11"/>
      <c r="C63" s="11"/>
      <c r="D63" s="11"/>
      <c r="E63" s="18"/>
      <c r="F63" s="18"/>
      <c r="H63" s="2"/>
    </row>
    <row r="64" spans="1:38" ht="13.15" customHeight="1">
      <c r="A64" s="26"/>
      <c r="B64" s="18"/>
      <c r="C64" s="18"/>
      <c r="D64" s="18"/>
      <c r="E64" s="11"/>
      <c r="F64" s="12"/>
    </row>
    <row r="65" spans="1:6" ht="13.15" customHeight="1">
      <c r="A65" s="26"/>
      <c r="B65" s="11"/>
      <c r="C65" s="11"/>
      <c r="D65" s="11"/>
      <c r="E65" s="11"/>
      <c r="F65" s="28"/>
    </row>
    <row r="66" spans="1:6" ht="13.15" customHeight="1">
      <c r="A66" s="26"/>
      <c r="B66" s="18"/>
      <c r="C66" s="11"/>
      <c r="D66" s="11"/>
      <c r="E66" s="11"/>
      <c r="F66" s="12"/>
    </row>
    <row r="67" spans="1:6" ht="13.15" customHeight="1">
      <c r="A67" s="26"/>
      <c r="B67" s="11"/>
      <c r="C67" s="11"/>
      <c r="D67" s="11"/>
      <c r="E67" s="11"/>
      <c r="F67" s="28"/>
    </row>
    <row r="68" spans="1:6" ht="13.15" customHeight="1"/>
    <row r="69" spans="1:6" ht="13.15" customHeight="1"/>
    <row r="70" spans="1:6" ht="13.15" customHeight="1"/>
    <row r="71" spans="1:6" ht="13.15" customHeight="1"/>
    <row r="72" spans="1:6" ht="13.15" customHeight="1"/>
    <row r="73" spans="1:6" ht="13.15" customHeight="1"/>
    <row r="74" spans="1:6" ht="13.15" customHeight="1"/>
    <row r="75" spans="1:6" ht="13.15" customHeight="1"/>
    <row r="76" spans="1:6" ht="13.15" customHeight="1"/>
    <row r="77" spans="1:6" ht="13.15" customHeight="1"/>
    <row r="78" spans="1:6" ht="13.15" customHeight="1"/>
    <row r="79" spans="1:6" ht="13.15" customHeight="1"/>
    <row r="80" spans="1:6" ht="13.15" customHeight="1"/>
    <row r="81" ht="13.15" customHeight="1"/>
    <row r="82" ht="13.15" customHeight="1"/>
    <row r="83" ht="13.15" customHeight="1"/>
    <row r="84" ht="13.15" customHeight="1"/>
    <row r="85" ht="13.15" customHeight="1"/>
    <row r="86" ht="13.15" customHeight="1"/>
    <row r="87" ht="13.15" customHeight="1"/>
    <row r="88" ht="13.1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4" spans="8:8" ht="13.5" customHeight="1"/>
    <row r="115" spans="8:8" ht="13.5" customHeight="1"/>
    <row r="116" spans="8:8" ht="13.5" customHeight="1"/>
    <row r="118" spans="8:8" ht="13.5" customHeight="1"/>
    <row r="119" spans="8:8" ht="7.5" customHeight="1"/>
    <row r="120" spans="8:8" ht="6" customHeight="1"/>
    <row r="121" spans="8:8" ht="16.5" customHeight="1"/>
    <row r="122" spans="8:8" ht="6" customHeight="1"/>
    <row r="123" spans="8:8" ht="20.25" customHeight="1">
      <c r="H123" s="2"/>
    </row>
    <row r="124" spans="8:8" ht="13.5" customHeight="1"/>
    <row r="125" spans="8:8" ht="13.5" customHeight="1"/>
    <row r="126" spans="8:8" ht="13.5" customHeight="1"/>
    <row r="127" spans="8:8" ht="13.5" customHeight="1"/>
    <row r="128" spans="8: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</sheetData>
  <mergeCells count="1">
    <mergeCell ref="H53:U54"/>
  </mergeCells>
  <phoneticPr fontId="9" type="noConversion"/>
  <conditionalFormatting sqref="E18">
    <cfRule type="cellIs" dxfId="6" priority="1" stopIfTrue="1" operator="greaterThan">
      <formula>$E$17</formula>
    </cfRule>
  </conditionalFormatting>
  <printOptions gridLines="1" gridLinesSet="0"/>
  <pageMargins left="0.78740157480314965" right="0" top="0.39370078740157483" bottom="0" header="0" footer="0"/>
  <pageSetup paperSize="9" orientation="portrait" horizontalDpi="4294967294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6"/>
  <sheetViews>
    <sheetView topLeftCell="A7" workbookViewId="0">
      <selection activeCell="H38" sqref="H38"/>
    </sheetView>
  </sheetViews>
  <sheetFormatPr defaultRowHeight="12.75"/>
  <cols>
    <col min="6" max="6" width="15.140625" customWidth="1"/>
    <col min="11" max="11" width="10.140625" bestFit="1" customWidth="1"/>
    <col min="12" max="12" width="13.140625" customWidth="1"/>
  </cols>
  <sheetData>
    <row r="1" spans="1:12" ht="15.75">
      <c r="A1" s="88"/>
      <c r="B1" s="92" t="s">
        <v>97</v>
      </c>
      <c r="C1" s="323">
        <v>1</v>
      </c>
      <c r="D1" s="92" t="s">
        <v>259</v>
      </c>
      <c r="E1" s="88"/>
      <c r="F1" s="323" t="s">
        <v>251</v>
      </c>
    </row>
    <row r="3" spans="1:12" ht="20.25">
      <c r="A3" s="93" t="s">
        <v>437</v>
      </c>
      <c r="B3" s="88"/>
      <c r="C3" s="88"/>
      <c r="D3" s="88"/>
      <c r="E3" s="88"/>
      <c r="F3" s="88"/>
      <c r="G3" s="88"/>
      <c r="H3" s="88"/>
      <c r="I3" s="88"/>
    </row>
    <row r="4" spans="1:12">
      <c r="A4" s="384" t="s">
        <v>436</v>
      </c>
      <c r="B4" s="385" t="s">
        <v>435</v>
      </c>
      <c r="C4" s="386"/>
      <c r="D4" s="386"/>
      <c r="E4" s="387"/>
      <c r="F4" s="369">
        <v>0</v>
      </c>
    </row>
    <row r="5" spans="1:12">
      <c r="A5" s="382" t="s">
        <v>434</v>
      </c>
      <c r="B5" s="383" t="s">
        <v>433</v>
      </c>
      <c r="C5" s="383"/>
      <c r="D5" s="383"/>
      <c r="E5" s="390"/>
      <c r="F5" s="366">
        <f>SUM(F6:F15)</f>
        <v>11268422</v>
      </c>
      <c r="G5" s="322"/>
      <c r="H5" s="322"/>
      <c r="I5" s="322"/>
      <c r="J5" s="322"/>
      <c r="K5" s="322"/>
      <c r="L5" s="322"/>
    </row>
    <row r="6" spans="1:12">
      <c r="A6" s="364" t="s">
        <v>10</v>
      </c>
      <c r="B6" s="299" t="s">
        <v>432</v>
      </c>
      <c r="C6" s="362"/>
      <c r="D6" s="299"/>
      <c r="E6" s="299"/>
      <c r="F6" s="363">
        <f ca="1">CENA!G58</f>
        <v>6250730</v>
      </c>
      <c r="G6" s="322"/>
      <c r="H6" s="322"/>
      <c r="I6" s="322"/>
      <c r="J6" s="322"/>
      <c r="K6" s="322"/>
      <c r="L6" s="322"/>
    </row>
    <row r="7" spans="1:12">
      <c r="A7" s="364" t="s">
        <v>16</v>
      </c>
      <c r="B7" s="299" t="s">
        <v>431</v>
      </c>
      <c r="C7" s="299"/>
      <c r="D7" s="299"/>
      <c r="E7" s="299"/>
      <c r="F7" s="363">
        <f ca="1">(WYR_EWID!G34*MATERIAŁY!G20*MATERIAŁY!H12)+(WYR_EWID!G34*MATERIAŁY!I12)</f>
        <v>350286</v>
      </c>
      <c r="G7" s="322"/>
      <c r="H7" s="368"/>
      <c r="I7" s="322"/>
      <c r="J7" s="322"/>
      <c r="K7" s="322"/>
      <c r="L7" s="322"/>
    </row>
    <row r="8" spans="1:12">
      <c r="A8" s="364" t="s">
        <v>19</v>
      </c>
      <c r="B8" s="299" t="s">
        <v>430</v>
      </c>
      <c r="C8" s="299"/>
      <c r="D8" s="299"/>
      <c r="E8" s="299"/>
      <c r="F8" s="363">
        <f ca="1">PÓŁFA_EWID!G35*MATERIAŁY!G20*MATERIAŁY!H12*0.5</f>
        <v>8520</v>
      </c>
      <c r="K8" s="367"/>
    </row>
    <row r="9" spans="1:12">
      <c r="A9" s="364" t="s">
        <v>23</v>
      </c>
      <c r="B9" s="299" t="s">
        <v>429</v>
      </c>
      <c r="C9" s="299"/>
      <c r="D9" s="299"/>
      <c r="E9" s="299"/>
      <c r="F9" s="363">
        <f ca="1">MATERIAŁY!H14*MATERIAŁY!H12*MATERIAŁY!D26</f>
        <v>38400.000000000007</v>
      </c>
    </row>
    <row r="10" spans="1:12">
      <c r="A10" s="364" t="s">
        <v>27</v>
      </c>
      <c r="B10" s="299" t="s">
        <v>428</v>
      </c>
      <c r="C10" s="299"/>
      <c r="D10" s="299"/>
      <c r="E10" s="299"/>
      <c r="F10" s="363">
        <f ca="1">MATERIAŁY!I14*MATERIAŁY!I12*MATERIAŁY!D48</f>
        <v>360000</v>
      </c>
    </row>
    <row r="11" spans="1:12">
      <c r="A11" s="364" t="s">
        <v>30</v>
      </c>
      <c r="B11" s="299" t="s">
        <v>427</v>
      </c>
      <c r="C11" s="299"/>
      <c r="D11" s="299"/>
      <c r="E11" s="299"/>
      <c r="F11" s="363">
        <f ca="1">PERSONEL_MASZ!I19*PERSONEL_MASZ!D15</f>
        <v>60486</v>
      </c>
    </row>
    <row r="12" spans="1:12">
      <c r="A12" s="364" t="s">
        <v>32</v>
      </c>
      <c r="B12" s="299" t="s">
        <v>426</v>
      </c>
      <c r="C12" s="299"/>
      <c r="D12" s="299"/>
      <c r="E12" s="299"/>
      <c r="F12" s="363">
        <f ca="1">KREDYTY!H9</f>
        <v>4200000</v>
      </c>
    </row>
    <row r="13" spans="1:12">
      <c r="A13" s="364" t="s">
        <v>35</v>
      </c>
      <c r="B13" s="299" t="s">
        <v>425</v>
      </c>
      <c r="C13" s="299"/>
      <c r="D13" s="299"/>
      <c r="E13" s="299"/>
      <c r="F13" s="363">
        <v>0</v>
      </c>
    </row>
    <row r="14" spans="1:12">
      <c r="A14" s="364" t="s">
        <v>397</v>
      </c>
      <c r="B14" s="299" t="s">
        <v>424</v>
      </c>
      <c r="C14" s="299"/>
      <c r="D14" s="299"/>
      <c r="E14" s="299"/>
      <c r="F14" s="363">
        <f ca="1">CENA!G52</f>
        <v>0</v>
      </c>
    </row>
    <row r="15" spans="1:12">
      <c r="A15" s="364" t="s">
        <v>393</v>
      </c>
      <c r="B15" s="299" t="s">
        <v>423</v>
      </c>
      <c r="C15" s="299"/>
      <c r="D15" s="299"/>
      <c r="E15" s="299"/>
      <c r="F15" s="365">
        <v>0</v>
      </c>
    </row>
    <row r="16" spans="1:12">
      <c r="A16" s="391" t="s">
        <v>422</v>
      </c>
      <c r="B16" s="392" t="s">
        <v>421</v>
      </c>
      <c r="C16" s="392"/>
      <c r="D16" s="392"/>
      <c r="E16" s="392"/>
      <c r="F16" s="366">
        <f>SUM(F17:F34,L17:L34)</f>
        <v>19777910.399533093</v>
      </c>
      <c r="G16" s="322"/>
      <c r="H16" s="322"/>
      <c r="I16" s="322"/>
      <c r="J16" s="322"/>
      <c r="K16" s="322"/>
      <c r="L16" s="322"/>
    </row>
    <row r="17" spans="1:15">
      <c r="A17" s="364" t="s">
        <v>10</v>
      </c>
      <c r="B17" s="299" t="s">
        <v>420</v>
      </c>
      <c r="C17" s="299"/>
      <c r="D17" s="299"/>
      <c r="E17" s="299"/>
      <c r="F17" s="363">
        <f ca="1">PERSONEL_MASZ!D20</f>
        <v>1600000</v>
      </c>
      <c r="G17" s="364" t="s">
        <v>419</v>
      </c>
      <c r="H17" s="299" t="s">
        <v>418</v>
      </c>
      <c r="I17" s="299"/>
      <c r="J17" s="299"/>
      <c r="K17" s="299"/>
      <c r="L17" s="363">
        <f ca="1">URZ_DOD!I13</f>
        <v>0</v>
      </c>
    </row>
    <row r="18" spans="1:15">
      <c r="A18" s="364" t="s">
        <v>16</v>
      </c>
      <c r="B18" s="299" t="s">
        <v>269</v>
      </c>
      <c r="C18" s="299"/>
      <c r="D18" s="299"/>
      <c r="E18" s="299"/>
      <c r="F18" s="363">
        <f ca="1">PERSONEL_MASZ!D75</f>
        <v>2700</v>
      </c>
      <c r="G18" s="364" t="s">
        <v>417</v>
      </c>
      <c r="H18" s="299" t="s">
        <v>416</v>
      </c>
      <c r="I18" s="299"/>
      <c r="J18" s="299"/>
      <c r="K18" s="299"/>
      <c r="L18" s="363">
        <f ca="1">CENA!G37</f>
        <v>2000</v>
      </c>
    </row>
    <row r="19" spans="1:15">
      <c r="A19" s="364" t="s">
        <v>19</v>
      </c>
      <c r="B19" s="299" t="s">
        <v>415</v>
      </c>
      <c r="C19" s="299"/>
      <c r="D19" s="299"/>
      <c r="E19" s="299"/>
      <c r="F19" s="303">
        <f ca="1">CENA!G30</f>
        <v>0</v>
      </c>
      <c r="G19" s="364" t="s">
        <v>414</v>
      </c>
      <c r="H19" s="299" t="s">
        <v>413</v>
      </c>
      <c r="I19" s="299"/>
      <c r="J19" s="299"/>
      <c r="K19" s="299"/>
      <c r="L19" s="363">
        <f ca="1">CENA!G48</f>
        <v>600000</v>
      </c>
    </row>
    <row r="20" spans="1:15">
      <c r="A20" s="364" t="s">
        <v>23</v>
      </c>
      <c r="B20" s="299" t="s">
        <v>412</v>
      </c>
      <c r="C20" s="299"/>
      <c r="D20" s="299"/>
      <c r="E20" s="299"/>
      <c r="F20" s="363">
        <f ca="1">PERSONEL_MASZ!D22</f>
        <v>0</v>
      </c>
      <c r="G20" s="364" t="s">
        <v>411</v>
      </c>
      <c r="H20" s="299" t="s">
        <v>410</v>
      </c>
      <c r="I20" s="299"/>
      <c r="J20" s="299"/>
      <c r="K20" s="299"/>
      <c r="L20" s="303">
        <f ca="1">CENA!G38</f>
        <v>55000</v>
      </c>
    </row>
    <row r="21" spans="1:15">
      <c r="A21" s="364" t="s">
        <v>27</v>
      </c>
      <c r="B21" s="299" t="s">
        <v>409</v>
      </c>
      <c r="C21" s="299"/>
      <c r="D21" s="299"/>
      <c r="E21" s="299"/>
      <c r="F21" s="363">
        <f ca="1">PERSONEL_MASZ!I9</f>
        <v>86400</v>
      </c>
      <c r="G21" s="364" t="s">
        <v>408</v>
      </c>
      <c r="H21" s="299" t="s">
        <v>407</v>
      </c>
      <c r="I21" s="299"/>
      <c r="J21" s="299"/>
      <c r="K21" s="299"/>
      <c r="L21" s="363">
        <f ca="1">CENA!G39</f>
        <v>27000</v>
      </c>
    </row>
    <row r="22" spans="1:15">
      <c r="A22" s="364" t="s">
        <v>30</v>
      </c>
      <c r="B22" s="299" t="s">
        <v>406</v>
      </c>
      <c r="C22" s="299"/>
      <c r="D22" s="299"/>
      <c r="E22" s="299"/>
      <c r="F22" s="363">
        <f ca="1">PERSONEL_MASZ!I10</f>
        <v>0</v>
      </c>
      <c r="G22" s="364" t="s">
        <v>405</v>
      </c>
      <c r="H22" s="299" t="s">
        <v>404</v>
      </c>
      <c r="I22" s="299"/>
      <c r="J22" s="299"/>
      <c r="K22" s="299"/>
      <c r="L22" s="363">
        <f ca="1">CENA!G49</f>
        <v>112965</v>
      </c>
    </row>
    <row r="23" spans="1:15">
      <c r="A23" s="364" t="s">
        <v>32</v>
      </c>
      <c r="B23" s="299" t="s">
        <v>403</v>
      </c>
      <c r="C23" s="299"/>
      <c r="D23" s="299"/>
      <c r="E23" s="299"/>
      <c r="F23" s="363">
        <f ca="1">PERSONEL_MASZ!I31</f>
        <v>25500</v>
      </c>
      <c r="G23" s="364" t="s">
        <v>402</v>
      </c>
      <c r="H23" s="299" t="s">
        <v>401</v>
      </c>
      <c r="I23" s="299"/>
      <c r="J23" s="299"/>
      <c r="K23" s="299"/>
      <c r="L23" s="363">
        <f ca="1">CENA!G40</f>
        <v>32000</v>
      </c>
    </row>
    <row r="24" spans="1:15">
      <c r="A24" s="364" t="s">
        <v>35</v>
      </c>
      <c r="B24" s="299" t="s">
        <v>400</v>
      </c>
      <c r="C24" s="299"/>
      <c r="D24" s="299"/>
      <c r="E24" s="299"/>
      <c r="F24" s="363">
        <f ca="1">CENA!G42+CENA!G21+CENA!G13</f>
        <v>52000</v>
      </c>
      <c r="G24" s="364" t="s">
        <v>399</v>
      </c>
      <c r="H24" s="299" t="s">
        <v>398</v>
      </c>
      <c r="I24" s="299"/>
      <c r="J24" s="299"/>
      <c r="K24" s="299"/>
      <c r="L24" s="363">
        <f ca="1">KREDYTY!H8</f>
        <v>400000</v>
      </c>
    </row>
    <row r="25" spans="1:15">
      <c r="A25" s="364" t="s">
        <v>397</v>
      </c>
      <c r="B25" s="299" t="s">
        <v>396</v>
      </c>
      <c r="C25" s="299"/>
      <c r="D25" s="299"/>
      <c r="E25" s="299"/>
      <c r="F25" s="363">
        <f ca="1">SUM(URZ_DOD!I5:I9)</f>
        <v>20000</v>
      </c>
      <c r="G25" s="364" t="s">
        <v>395</v>
      </c>
      <c r="H25" s="299" t="s">
        <v>394</v>
      </c>
      <c r="I25" s="299"/>
      <c r="J25" s="299"/>
      <c r="K25" s="299"/>
      <c r="L25" s="363">
        <f ca="1">KREDYTY!H11</f>
        <v>48000</v>
      </c>
    </row>
    <row r="26" spans="1:15">
      <c r="A26" s="364" t="s">
        <v>393</v>
      </c>
      <c r="B26" s="299" t="s">
        <v>392</v>
      </c>
      <c r="C26" s="299"/>
      <c r="D26" s="299"/>
      <c r="E26" s="299"/>
      <c r="F26" s="363">
        <f ca="1">CENA!G35</f>
        <v>6000</v>
      </c>
      <c r="G26" s="364" t="s">
        <v>391</v>
      </c>
      <c r="H26" s="299" t="s">
        <v>390</v>
      </c>
      <c r="I26" s="299"/>
      <c r="J26" s="299"/>
      <c r="K26" s="299"/>
      <c r="L26" s="363">
        <f ca="1">KREDYTY!H15</f>
        <v>10400069</v>
      </c>
    </row>
    <row r="27" spans="1:15">
      <c r="A27" s="364" t="s">
        <v>389</v>
      </c>
      <c r="B27" s="299" t="s">
        <v>388</v>
      </c>
      <c r="C27" s="299"/>
      <c r="D27" s="299"/>
      <c r="E27" s="299"/>
      <c r="F27" s="363">
        <f ca="1">URZ_DOD!J10</f>
        <v>2510</v>
      </c>
      <c r="G27" s="364" t="s">
        <v>387</v>
      </c>
      <c r="H27" s="299" t="s">
        <v>386</v>
      </c>
      <c r="I27" s="299"/>
      <c r="J27" s="299"/>
      <c r="K27" s="299"/>
      <c r="L27" s="363">
        <f ca="1">KREDYTY!H16</f>
        <v>312002.07</v>
      </c>
    </row>
    <row r="28" spans="1:15">
      <c r="A28" s="364" t="s">
        <v>385</v>
      </c>
      <c r="B28" s="299" t="s">
        <v>384</v>
      </c>
      <c r="C28" s="299"/>
      <c r="D28" s="299"/>
      <c r="E28" s="299"/>
      <c r="F28" s="363">
        <f ca="1">ŚROD_NAT!H5*ŚROD_NAT!H17</f>
        <v>36000</v>
      </c>
      <c r="G28" s="364" t="s">
        <v>383</v>
      </c>
      <c r="H28" s="299" t="s">
        <v>382</v>
      </c>
      <c r="I28" s="299"/>
      <c r="J28" s="299"/>
      <c r="K28" s="299"/>
      <c r="L28" s="363">
        <f ca="1">CENA!G16</f>
        <v>35500</v>
      </c>
    </row>
    <row r="29" spans="1:15">
      <c r="A29" s="364" t="s">
        <v>381</v>
      </c>
      <c r="B29" s="299" t="s">
        <v>380</v>
      </c>
      <c r="C29" s="299"/>
      <c r="D29" s="299"/>
      <c r="E29" s="299"/>
      <c r="F29" s="363">
        <f ca="1">CENA!G36</f>
        <v>124000</v>
      </c>
      <c r="G29" s="364" t="s">
        <v>379</v>
      </c>
      <c r="H29" s="299" t="s">
        <v>378</v>
      </c>
      <c r="I29" s="299"/>
      <c r="J29" s="299"/>
      <c r="K29" s="299"/>
      <c r="L29" s="363">
        <f ca="1">CENA!G22</f>
        <v>59120</v>
      </c>
      <c r="O29" s="396" t="s">
        <v>451</v>
      </c>
    </row>
    <row r="30" spans="1:15">
      <c r="A30" s="364" t="s">
        <v>377</v>
      </c>
      <c r="B30" s="299" t="s">
        <v>376</v>
      </c>
      <c r="C30" s="299"/>
      <c r="D30" s="299"/>
      <c r="E30" s="299"/>
      <c r="F30" s="363">
        <f ca="1">ŚROD_NAT!H26</f>
        <v>0</v>
      </c>
      <c r="G30" s="364" t="s">
        <v>375</v>
      </c>
      <c r="H30" s="299" t="s">
        <v>374</v>
      </c>
      <c r="I30" s="299"/>
      <c r="J30" s="299"/>
      <c r="K30" s="299"/>
      <c r="L30" s="365">
        <f ca="1">138585*0.5</f>
        <v>69292.5</v>
      </c>
      <c r="O30" s="397">
        <v>0.4</v>
      </c>
    </row>
    <row r="31" spans="1:15">
      <c r="A31" s="364" t="s">
        <v>373</v>
      </c>
      <c r="B31" s="299" t="s">
        <v>372</v>
      </c>
      <c r="C31" s="299"/>
      <c r="D31" s="299"/>
      <c r="E31" s="299"/>
      <c r="F31" s="363">
        <f ca="1">MATERIAŁY!F36</f>
        <v>128000</v>
      </c>
      <c r="G31" s="364" t="s">
        <v>371</v>
      </c>
      <c r="H31" s="299" t="s">
        <v>370</v>
      </c>
      <c r="I31" s="299"/>
      <c r="J31" s="299"/>
      <c r="K31" s="299"/>
      <c r="L31" s="399">
        <f ca="1">IF(CENA!G59&lt;0,0,O30*CENA!G59)</f>
        <v>45851.829533091564</v>
      </c>
      <c r="M31" s="412"/>
    </row>
    <row r="32" spans="1:15">
      <c r="A32" s="364" t="s">
        <v>369</v>
      </c>
      <c r="B32" s="299" t="s">
        <v>368</v>
      </c>
      <c r="C32" s="299"/>
      <c r="D32" s="299"/>
      <c r="E32" s="299"/>
      <c r="F32" s="363">
        <f ca="1">MATERIAŁY!F35</f>
        <v>720000</v>
      </c>
      <c r="G32" s="364" t="s">
        <v>367</v>
      </c>
      <c r="H32" s="299" t="s">
        <v>366</v>
      </c>
      <c r="I32" s="299"/>
      <c r="J32" s="299"/>
      <c r="K32" s="299"/>
      <c r="L32" s="363">
        <f ca="1">CENA!G45</f>
        <v>200000</v>
      </c>
    </row>
    <row r="33" spans="1:12">
      <c r="A33" s="364" t="s">
        <v>365</v>
      </c>
      <c r="B33" s="299" t="s">
        <v>364</v>
      </c>
      <c r="C33" s="299"/>
      <c r="D33" s="299"/>
      <c r="E33" s="299"/>
      <c r="F33" s="363">
        <f ca="1">MATERIAŁY!F58</f>
        <v>1530000</v>
      </c>
      <c r="G33" s="364" t="s">
        <v>363</v>
      </c>
      <c r="H33" s="299" t="s">
        <v>362</v>
      </c>
      <c r="I33" s="299"/>
      <c r="J33" s="299"/>
      <c r="K33" s="299"/>
      <c r="L33" s="363">
        <f ca="1">CENA!G46</f>
        <v>0</v>
      </c>
    </row>
    <row r="34" spans="1:12">
      <c r="A34" s="364" t="s">
        <v>361</v>
      </c>
      <c r="B34" s="299" t="s">
        <v>360</v>
      </c>
      <c r="C34" s="299"/>
      <c r="D34" s="299"/>
      <c r="E34" s="299"/>
      <c r="F34" s="363">
        <f ca="1">MATERIAŁY!F57</f>
        <v>3045000</v>
      </c>
      <c r="G34" s="364" t="s">
        <v>359</v>
      </c>
      <c r="H34" s="299" t="s">
        <v>358</v>
      </c>
      <c r="I34" s="299"/>
      <c r="J34" s="299"/>
      <c r="K34" s="299"/>
      <c r="L34" s="363">
        <f ca="1">CENA!G44</f>
        <v>1000</v>
      </c>
    </row>
    <row r="35" spans="1:12">
      <c r="A35" s="388" t="s">
        <v>357</v>
      </c>
      <c r="B35" s="389" t="s">
        <v>356</v>
      </c>
      <c r="C35" s="389"/>
      <c r="D35" s="389"/>
      <c r="E35" s="389"/>
      <c r="F35" s="361">
        <f>ABS(IF(F4+F5-F16&lt;0,F4+F5-F16,0))</f>
        <v>8509488.399533093</v>
      </c>
    </row>
    <row r="36" spans="1:12">
      <c r="A36" s="393" t="s">
        <v>355</v>
      </c>
      <c r="B36" s="394" t="s">
        <v>354</v>
      </c>
      <c r="C36" s="394"/>
      <c r="D36" s="394"/>
      <c r="E36" s="394"/>
      <c r="F36" s="395">
        <f>F4+F5-F16+F35</f>
        <v>0</v>
      </c>
    </row>
  </sheetData>
  <phoneticPr fontId="9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Normal="85" workbookViewId="0">
      <selection activeCell="D58" sqref="D58"/>
    </sheetView>
  </sheetViews>
  <sheetFormatPr defaultRowHeight="12.75"/>
  <cols>
    <col min="1" max="1" width="3" customWidth="1"/>
    <col min="2" max="2" width="13.5703125" customWidth="1"/>
    <col min="3" max="3" width="11" customWidth="1"/>
    <col min="4" max="4" width="10.85546875" customWidth="1"/>
    <col min="5" max="5" width="3" customWidth="1"/>
    <col min="6" max="8" width="11.7109375" customWidth="1"/>
    <col min="9" max="9" width="11.28515625" customWidth="1"/>
    <col min="10" max="10" width="12.7109375" customWidth="1"/>
    <col min="11" max="11" width="3.140625" customWidth="1"/>
    <col min="12" max="12" width="11.28515625" customWidth="1"/>
    <col min="13" max="13" width="11.85546875" customWidth="1"/>
    <col min="14" max="14" width="11.42578125" customWidth="1"/>
    <col min="15" max="15" width="8.140625" customWidth="1"/>
    <col min="16" max="16" width="11.42578125" customWidth="1"/>
    <col min="19" max="19" width="9.7109375" customWidth="1"/>
  </cols>
  <sheetData>
    <row r="1" spans="1:19" ht="15.75">
      <c r="A1" s="88"/>
      <c r="B1" s="92" t="s">
        <v>97</v>
      </c>
      <c r="C1" s="262">
        <f ca="1">CENA!C1</f>
        <v>2</v>
      </c>
      <c r="D1" s="92" t="s">
        <v>252</v>
      </c>
      <c r="E1" s="88"/>
      <c r="F1" s="88"/>
      <c r="G1" s="263">
        <f ca="1">CENA!E1</f>
        <v>0</v>
      </c>
      <c r="H1" s="265"/>
      <c r="I1" s="92" t="s">
        <v>95</v>
      </c>
      <c r="J1" s="262">
        <f ca="1">CENA!C3</f>
        <v>1</v>
      </c>
      <c r="K1" s="88"/>
    </row>
    <row r="2" spans="1:19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9" ht="21.6" customHeight="1">
      <c r="A3" s="88"/>
      <c r="B3" s="88"/>
      <c r="C3" s="93" t="s">
        <v>135</v>
      </c>
      <c r="D3" s="88"/>
      <c r="E3" s="88"/>
      <c r="F3" s="88"/>
      <c r="G3" s="88"/>
      <c r="H3" s="88"/>
      <c r="I3" s="88"/>
      <c r="J3" s="88"/>
      <c r="K3" s="88"/>
    </row>
    <row r="4" spans="1:19" ht="13.9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9" ht="16.149999999999999" customHeight="1" thickBot="1">
      <c r="A5" s="94" t="s">
        <v>103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9" ht="15.6" customHeight="1" thickBot="1">
      <c r="A6" s="95"/>
      <c r="B6" s="96" t="s">
        <v>102</v>
      </c>
      <c r="C6" s="97"/>
      <c r="D6" s="97"/>
      <c r="E6" s="97"/>
      <c r="F6" s="97"/>
      <c r="G6" s="98"/>
      <c r="H6" s="99" t="s">
        <v>131</v>
      </c>
      <c r="I6" s="100" t="s">
        <v>132</v>
      </c>
      <c r="J6" s="45"/>
      <c r="K6" s="101"/>
      <c r="L6" s="1"/>
      <c r="M6" s="1"/>
      <c r="N6" s="1"/>
      <c r="O6" s="1"/>
      <c r="P6" s="1"/>
      <c r="Q6" s="1"/>
      <c r="R6" s="1"/>
      <c r="S6" s="1"/>
    </row>
    <row r="7" spans="1:19" ht="13.9" customHeight="1">
      <c r="A7" s="102" t="s">
        <v>10</v>
      </c>
      <c r="B7" s="103" t="s">
        <v>99</v>
      </c>
      <c r="C7" s="103"/>
      <c r="D7" s="103"/>
      <c r="E7" s="103"/>
      <c r="F7" s="103"/>
      <c r="G7" s="103"/>
      <c r="H7" s="104">
        <v>0</v>
      </c>
      <c r="I7" s="104">
        <v>30000</v>
      </c>
      <c r="J7" s="94"/>
      <c r="K7" s="101"/>
      <c r="L7" s="1"/>
      <c r="M7" s="1"/>
      <c r="N7" s="1"/>
      <c r="O7" s="1"/>
      <c r="P7" s="1"/>
      <c r="Q7" s="1"/>
      <c r="R7" s="1"/>
      <c r="S7" s="1"/>
    </row>
    <row r="8" spans="1:19" ht="13.9" customHeight="1">
      <c r="A8" s="105" t="s">
        <v>16</v>
      </c>
      <c r="B8" s="106" t="s">
        <v>174</v>
      </c>
      <c r="C8" s="106"/>
      <c r="D8" s="106"/>
      <c r="E8" s="106"/>
      <c r="F8" s="106"/>
      <c r="G8" s="106"/>
      <c r="H8" s="107">
        <v>64</v>
      </c>
      <c r="I8" s="107">
        <v>500</v>
      </c>
      <c r="J8" s="94"/>
      <c r="K8" s="108"/>
      <c r="L8" s="408" t="s">
        <v>458</v>
      </c>
      <c r="M8" s="408"/>
      <c r="N8" s="408"/>
      <c r="O8" s="2"/>
      <c r="P8" s="2"/>
      <c r="Q8" s="2"/>
      <c r="R8" s="2"/>
      <c r="S8" s="2"/>
    </row>
    <row r="9" spans="1:19" ht="13.9" customHeight="1">
      <c r="A9" s="105" t="s">
        <v>19</v>
      </c>
      <c r="B9" s="106" t="s">
        <v>133</v>
      </c>
      <c r="C9" s="106"/>
      <c r="D9" s="106"/>
      <c r="E9" s="106"/>
      <c r="F9" s="106"/>
      <c r="G9" s="106"/>
      <c r="H9" s="109">
        <v>4000</v>
      </c>
      <c r="I9" s="107">
        <v>10000</v>
      </c>
      <c r="J9" s="110"/>
      <c r="K9" s="108"/>
      <c r="L9" s="436">
        <f>D36+D58</f>
        <v>528423.09090909082</v>
      </c>
      <c r="M9" s="437"/>
      <c r="N9" s="437"/>
      <c r="O9" s="2"/>
      <c r="P9" s="2"/>
      <c r="Q9" s="2"/>
      <c r="R9" s="2"/>
      <c r="S9" s="2"/>
    </row>
    <row r="10" spans="1:19" ht="13.9" customHeight="1">
      <c r="A10" s="105" t="s">
        <v>23</v>
      </c>
      <c r="B10" s="106" t="s">
        <v>175</v>
      </c>
      <c r="C10" s="106"/>
      <c r="D10" s="106"/>
      <c r="E10" s="106"/>
      <c r="F10" s="106"/>
      <c r="G10" s="106"/>
      <c r="H10" s="109">
        <v>56</v>
      </c>
      <c r="I10" s="107">
        <v>480</v>
      </c>
      <c r="J10" s="110"/>
      <c r="K10" s="101"/>
      <c r="L10" s="1"/>
      <c r="M10" s="1"/>
      <c r="N10" s="1"/>
      <c r="O10" s="1"/>
      <c r="P10" s="1"/>
      <c r="Q10" s="1"/>
      <c r="R10" s="1"/>
      <c r="S10" s="1"/>
    </row>
    <row r="11" spans="1:19" ht="13.9" customHeight="1">
      <c r="A11" s="111" t="s">
        <v>27</v>
      </c>
      <c r="B11" s="112" t="s">
        <v>134</v>
      </c>
      <c r="C11" s="112"/>
      <c r="D11" s="112"/>
      <c r="E11" s="112"/>
      <c r="F11" s="112"/>
      <c r="G11" s="112"/>
      <c r="H11" s="107">
        <v>10000</v>
      </c>
      <c r="I11" s="107">
        <v>25000</v>
      </c>
      <c r="J11" s="110"/>
      <c r="K11" s="101"/>
      <c r="L11" s="1"/>
      <c r="M11" s="1"/>
      <c r="N11" s="1"/>
      <c r="O11" s="1"/>
      <c r="P11" s="1"/>
      <c r="Q11" s="1"/>
      <c r="R11" s="1"/>
      <c r="S11" s="1"/>
    </row>
    <row r="12" spans="1:19" ht="13.9" customHeight="1">
      <c r="A12" s="105" t="s">
        <v>30</v>
      </c>
      <c r="B12" s="106" t="s">
        <v>176</v>
      </c>
      <c r="C12" s="106"/>
      <c r="D12" s="106"/>
      <c r="E12" s="106"/>
      <c r="F12" s="106"/>
      <c r="G12" s="106"/>
      <c r="H12" s="109">
        <v>48</v>
      </c>
      <c r="I12" s="107">
        <v>450</v>
      </c>
      <c r="J12" s="110"/>
      <c r="K12" s="101"/>
      <c r="L12" s="1"/>
      <c r="M12" s="1"/>
      <c r="N12" s="1"/>
      <c r="O12" s="1"/>
      <c r="P12" s="1"/>
      <c r="Q12" s="1"/>
      <c r="R12" s="1"/>
      <c r="S12" s="1"/>
    </row>
    <row r="13" spans="1:19" ht="13.9" customHeight="1">
      <c r="A13" s="105" t="s">
        <v>32</v>
      </c>
      <c r="B13" s="106" t="s">
        <v>100</v>
      </c>
      <c r="C13" s="106"/>
      <c r="D13" s="106"/>
      <c r="E13" s="106"/>
      <c r="F13" s="106"/>
      <c r="G13" s="113"/>
      <c r="H13" s="114">
        <v>1.5</v>
      </c>
      <c r="I13" s="114">
        <v>1.5</v>
      </c>
      <c r="J13" s="110"/>
      <c r="K13" s="88"/>
      <c r="L13" s="5"/>
      <c r="M13" s="5"/>
      <c r="N13" s="5"/>
      <c r="O13" s="5"/>
      <c r="P13" s="5"/>
      <c r="Q13" s="5"/>
      <c r="R13" s="5"/>
      <c r="S13" s="5"/>
    </row>
    <row r="14" spans="1:19" ht="13.9" customHeight="1" thickBot="1">
      <c r="A14" s="115" t="s">
        <v>35</v>
      </c>
      <c r="B14" s="116" t="s">
        <v>101</v>
      </c>
      <c r="C14" s="116"/>
      <c r="D14" s="116"/>
      <c r="E14" s="116"/>
      <c r="F14" s="116"/>
      <c r="G14" s="116"/>
      <c r="H14" s="117">
        <v>0.8</v>
      </c>
      <c r="I14" s="117">
        <v>0.8</v>
      </c>
      <c r="J14" s="110"/>
      <c r="K14" s="45"/>
      <c r="L14" s="3"/>
      <c r="M14" s="3"/>
      <c r="N14" s="3"/>
      <c r="O14" s="3"/>
      <c r="P14" s="3"/>
      <c r="Q14" s="3"/>
      <c r="R14" s="3"/>
      <c r="S14" s="3"/>
    </row>
    <row r="15" spans="1:19" ht="13.9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118"/>
      <c r="L15" s="14"/>
      <c r="M15" s="14"/>
      <c r="N15" s="14"/>
      <c r="O15" s="14"/>
      <c r="P15" s="14"/>
      <c r="Q15" s="14"/>
      <c r="R15" s="14"/>
      <c r="S15" s="14"/>
    </row>
    <row r="16" spans="1:19" ht="13.9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118"/>
      <c r="L16" s="14"/>
      <c r="M16" s="14"/>
      <c r="N16" s="14"/>
      <c r="O16" s="14"/>
      <c r="P16" s="14"/>
      <c r="Q16" s="14"/>
      <c r="R16" s="14"/>
      <c r="S16" s="14"/>
    </row>
    <row r="17" spans="1:19" ht="16.149999999999999" customHeight="1">
      <c r="A17" s="119" t="s">
        <v>104</v>
      </c>
      <c r="B17" s="120"/>
      <c r="C17" s="120"/>
      <c r="D17" s="120"/>
      <c r="E17" s="120"/>
      <c r="F17" s="120"/>
      <c r="G17" s="120"/>
      <c r="H17" s="121"/>
      <c r="I17" s="88"/>
      <c r="J17" s="88"/>
      <c r="K17" s="118"/>
      <c r="L17" s="14"/>
      <c r="M17" s="14"/>
      <c r="N17" s="14"/>
      <c r="O17" s="14"/>
      <c r="P17" s="14"/>
      <c r="Q17" s="14"/>
      <c r="R17" s="14"/>
      <c r="S17" s="14"/>
    </row>
    <row r="18" spans="1:19" ht="13.9" customHeight="1">
      <c r="A18" s="88"/>
      <c r="B18" s="88"/>
      <c r="C18" s="88"/>
      <c r="D18" s="88"/>
      <c r="E18" s="88"/>
      <c r="F18" s="88"/>
      <c r="G18" s="88"/>
      <c r="H18" s="88"/>
      <c r="I18" s="88"/>
      <c r="J18" s="122"/>
      <c r="K18" s="123"/>
      <c r="L18" s="16"/>
      <c r="M18" s="16"/>
      <c r="N18" s="17"/>
      <c r="O18" s="16"/>
      <c r="P18" s="17"/>
      <c r="Q18" s="16"/>
      <c r="R18" s="18"/>
      <c r="S18" s="16"/>
    </row>
    <row r="19" spans="1:19" ht="16.149999999999999" customHeight="1">
      <c r="A19" s="94" t="s">
        <v>105</v>
      </c>
      <c r="B19" s="94"/>
      <c r="C19" s="94"/>
      <c r="D19" s="94"/>
      <c r="E19" s="94"/>
      <c r="F19" s="45"/>
      <c r="G19" s="94"/>
      <c r="H19" s="94"/>
      <c r="I19" s="94"/>
      <c r="J19" s="122"/>
      <c r="K19" s="118"/>
      <c r="L19" s="19"/>
      <c r="M19" s="19"/>
      <c r="N19" s="20"/>
      <c r="O19" s="19"/>
      <c r="P19" s="20"/>
      <c r="Q19" s="19"/>
      <c r="R19" s="19"/>
      <c r="S19" s="19"/>
    </row>
    <row r="20" spans="1:19" ht="13.9" customHeight="1" thickBot="1">
      <c r="A20" s="124"/>
      <c r="B20" s="125" t="s">
        <v>144</v>
      </c>
      <c r="C20" s="94"/>
      <c r="D20" s="94"/>
      <c r="E20" s="94"/>
      <c r="F20" s="126"/>
      <c r="G20" s="127">
        <v>0.5</v>
      </c>
      <c r="H20" s="94"/>
      <c r="I20" s="94"/>
      <c r="J20" s="88"/>
      <c r="K20" s="120"/>
      <c r="L20" s="11"/>
      <c r="M20" s="11"/>
      <c r="N20" s="11"/>
      <c r="O20" s="11"/>
      <c r="P20" s="11"/>
      <c r="Q20" s="11"/>
      <c r="R20" s="11"/>
      <c r="S20" s="11"/>
    </row>
    <row r="21" spans="1:19" ht="13.9" customHeight="1">
      <c r="A21" s="128" t="s">
        <v>13</v>
      </c>
      <c r="B21" s="129" t="s">
        <v>2</v>
      </c>
      <c r="C21" s="130" t="s">
        <v>112</v>
      </c>
      <c r="D21" s="131" t="s">
        <v>145</v>
      </c>
      <c r="E21" s="132"/>
      <c r="F21" s="133" t="s">
        <v>14</v>
      </c>
      <c r="G21" s="131" t="s">
        <v>123</v>
      </c>
      <c r="H21" s="134" t="s">
        <v>15</v>
      </c>
      <c r="I21" s="131" t="s">
        <v>127</v>
      </c>
      <c r="J21" s="135" t="s">
        <v>123</v>
      </c>
      <c r="K21" s="120"/>
      <c r="L21" s="11"/>
      <c r="M21" s="11"/>
      <c r="N21" s="11"/>
      <c r="O21" s="11"/>
      <c r="P21" s="21"/>
      <c r="Q21" s="21"/>
      <c r="R21" s="21"/>
      <c r="S21" s="21"/>
    </row>
    <row r="22" spans="1:19" ht="13.9" customHeight="1">
      <c r="A22" s="136" t="s">
        <v>18</v>
      </c>
      <c r="B22" s="137" t="s">
        <v>110</v>
      </c>
      <c r="C22" s="138" t="s">
        <v>113</v>
      </c>
      <c r="D22" s="139" t="s">
        <v>146</v>
      </c>
      <c r="E22" s="140"/>
      <c r="F22" s="137" t="s">
        <v>117</v>
      </c>
      <c r="G22" s="139" t="s">
        <v>117</v>
      </c>
      <c r="H22" s="139" t="s">
        <v>46</v>
      </c>
      <c r="I22" s="139" t="s">
        <v>128</v>
      </c>
      <c r="J22" s="141" t="s">
        <v>110</v>
      </c>
      <c r="K22" s="120"/>
      <c r="L22" s="11"/>
      <c r="M22" s="11"/>
      <c r="N22" s="11"/>
      <c r="O22" s="11"/>
      <c r="P22" s="22"/>
      <c r="Q22" s="22"/>
      <c r="R22" s="22"/>
      <c r="S22" s="22"/>
    </row>
    <row r="23" spans="1:19" ht="13.9" customHeight="1">
      <c r="A23" s="142"/>
      <c r="B23" s="143" t="s">
        <v>111</v>
      </c>
      <c r="C23" s="138"/>
      <c r="D23" s="138" t="s">
        <v>117</v>
      </c>
      <c r="E23" s="34"/>
      <c r="F23" s="143"/>
      <c r="G23" s="138" t="s">
        <v>124</v>
      </c>
      <c r="H23" s="138" t="s">
        <v>125</v>
      </c>
      <c r="I23" s="138" t="s">
        <v>46</v>
      </c>
      <c r="J23" s="144" t="s">
        <v>129</v>
      </c>
      <c r="K23" s="120"/>
      <c r="L23" s="11"/>
      <c r="M23" s="11"/>
      <c r="N23" s="11"/>
      <c r="O23" s="11"/>
      <c r="P23" s="22"/>
      <c r="Q23" s="22"/>
      <c r="R23" s="22"/>
      <c r="S23" s="22"/>
    </row>
    <row r="24" spans="1:19" ht="13.9" customHeight="1" thickBot="1">
      <c r="A24" s="145"/>
      <c r="B24" s="146" t="s">
        <v>49</v>
      </c>
      <c r="C24" s="147"/>
      <c r="D24" s="147" t="s">
        <v>49</v>
      </c>
      <c r="E24" s="148"/>
      <c r="F24" s="149" t="s">
        <v>49</v>
      </c>
      <c r="G24" s="147" t="s">
        <v>49</v>
      </c>
      <c r="H24" s="150" t="s">
        <v>126</v>
      </c>
      <c r="I24" s="147" t="s">
        <v>49</v>
      </c>
      <c r="J24" s="151" t="s">
        <v>49</v>
      </c>
      <c r="K24" s="120"/>
      <c r="L24" s="11"/>
      <c r="M24" s="11"/>
      <c r="N24" s="11"/>
      <c r="O24" s="11"/>
      <c r="P24" s="22"/>
      <c r="Q24" s="22"/>
      <c r="R24" s="22"/>
      <c r="S24" s="22"/>
    </row>
    <row r="25" spans="1:19" ht="13.9" customHeight="1">
      <c r="A25" s="152"/>
      <c r="B25" s="153"/>
      <c r="C25" s="154"/>
      <c r="D25" s="155"/>
      <c r="E25" s="156" t="s">
        <v>22</v>
      </c>
      <c r="F25" s="419">
        <v>10000</v>
      </c>
      <c r="G25" s="155"/>
      <c r="H25" s="157"/>
      <c r="I25" s="155"/>
      <c r="J25" s="158"/>
      <c r="K25" s="120"/>
      <c r="L25" s="11"/>
      <c r="M25" s="11"/>
      <c r="N25" s="11"/>
      <c r="O25" s="11"/>
      <c r="P25" s="22"/>
      <c r="Q25" s="22"/>
      <c r="R25" s="22"/>
      <c r="S25" s="22"/>
    </row>
    <row r="26" spans="1:19" ht="13.9" customHeight="1" thickBot="1">
      <c r="A26" s="264">
        <f>C1</f>
        <v>2</v>
      </c>
      <c r="B26" s="417">
        <v>2440</v>
      </c>
      <c r="C26" s="159"/>
      <c r="D26" s="418">
        <v>1000</v>
      </c>
      <c r="E26" s="160" t="s">
        <v>26</v>
      </c>
      <c r="F26" s="417">
        <v>2000</v>
      </c>
      <c r="G26" s="266">
        <f>B26-D26+F25+F26</f>
        <v>13440</v>
      </c>
      <c r="H26" s="267">
        <f ca="1">CENA!E9</f>
        <v>7100</v>
      </c>
      <c r="I26" s="266">
        <f>H26*G20</f>
        <v>3550</v>
      </c>
      <c r="J26" s="270">
        <f>G26-I26</f>
        <v>9890</v>
      </c>
      <c r="K26" s="120"/>
      <c r="L26" s="11"/>
      <c r="M26" s="11"/>
      <c r="N26" s="11"/>
      <c r="O26" s="11"/>
      <c r="P26" s="22"/>
      <c r="Q26" s="22"/>
      <c r="R26" s="22"/>
      <c r="S26" s="22"/>
    </row>
    <row r="27" spans="1:19" ht="13.9" customHeight="1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120"/>
      <c r="L27" s="11"/>
      <c r="M27" s="11"/>
      <c r="N27" s="11"/>
      <c r="O27" s="11"/>
      <c r="P27" s="22"/>
      <c r="Q27" s="22"/>
      <c r="R27" s="22"/>
      <c r="S27" s="22"/>
    </row>
    <row r="28" spans="1:19" ht="16.149999999999999" customHeight="1">
      <c r="A28" s="94" t="s">
        <v>106</v>
      </c>
      <c r="B28" s="45"/>
      <c r="C28" s="88"/>
      <c r="D28" s="45"/>
      <c r="E28" s="45"/>
      <c r="F28" s="45"/>
      <c r="G28" s="161"/>
      <c r="H28" s="45"/>
      <c r="I28" s="45"/>
      <c r="J28" s="45"/>
      <c r="K28" s="162"/>
      <c r="L28" s="18"/>
      <c r="M28" s="18"/>
      <c r="N28" s="18"/>
      <c r="O28" s="18"/>
      <c r="P28" s="18"/>
      <c r="Q28" s="18"/>
      <c r="R28" s="18"/>
      <c r="S28" s="18"/>
    </row>
    <row r="29" spans="1:19" ht="13.9" customHeight="1" thickBot="1">
      <c r="A29" s="124"/>
      <c r="B29" s="125" t="s">
        <v>143</v>
      </c>
      <c r="C29" s="88"/>
      <c r="D29" s="45"/>
      <c r="E29" s="45"/>
      <c r="F29" s="45"/>
      <c r="G29" s="45"/>
      <c r="H29" s="45"/>
      <c r="I29" s="45"/>
      <c r="J29" s="45"/>
      <c r="K29" s="163"/>
      <c r="L29" s="23"/>
      <c r="M29" s="23"/>
      <c r="N29" s="23"/>
      <c r="O29" s="23"/>
      <c r="P29" s="23"/>
      <c r="Q29" s="23"/>
      <c r="R29" s="23"/>
      <c r="S29" s="23"/>
    </row>
    <row r="30" spans="1:19" ht="13.9" customHeight="1">
      <c r="A30" s="164" t="s">
        <v>13</v>
      </c>
      <c r="B30" s="129" t="s">
        <v>4</v>
      </c>
      <c r="C30" s="130" t="s">
        <v>114</v>
      </c>
      <c r="D30" s="131" t="s">
        <v>38</v>
      </c>
      <c r="E30" s="132"/>
      <c r="F30" s="133" t="s">
        <v>39</v>
      </c>
      <c r="G30" s="131" t="s">
        <v>40</v>
      </c>
      <c r="H30" s="134" t="s">
        <v>114</v>
      </c>
      <c r="I30" s="134" t="s">
        <v>4</v>
      </c>
      <c r="J30" s="165" t="s">
        <v>4</v>
      </c>
      <c r="K30" s="162"/>
      <c r="L30" s="18"/>
      <c r="M30" s="18"/>
      <c r="N30" s="18"/>
      <c r="O30" s="18"/>
      <c r="P30" s="18"/>
      <c r="Q30" s="18"/>
      <c r="R30" s="18"/>
      <c r="S30" s="18"/>
    </row>
    <row r="31" spans="1:19" ht="13.9" customHeight="1">
      <c r="A31" s="166" t="s">
        <v>18</v>
      </c>
      <c r="B31" s="137" t="s">
        <v>117</v>
      </c>
      <c r="C31" s="138" t="s">
        <v>115</v>
      </c>
      <c r="D31" s="139" t="s">
        <v>44</v>
      </c>
      <c r="E31" s="167"/>
      <c r="F31" s="137" t="s">
        <v>45</v>
      </c>
      <c r="G31" s="168" t="s">
        <v>117</v>
      </c>
      <c r="H31" s="139" t="s">
        <v>115</v>
      </c>
      <c r="I31" s="139" t="s">
        <v>117</v>
      </c>
      <c r="J31" s="141" t="s">
        <v>117</v>
      </c>
      <c r="K31" s="118"/>
      <c r="L31" s="14"/>
      <c r="M31" s="14"/>
      <c r="N31" s="14"/>
      <c r="O31" s="14"/>
      <c r="P31" s="14"/>
      <c r="Q31" s="14"/>
      <c r="R31" s="14"/>
      <c r="S31" s="14"/>
    </row>
    <row r="32" spans="1:19" ht="13.9" customHeight="1">
      <c r="A32" s="166"/>
      <c r="B32" s="137" t="s">
        <v>43</v>
      </c>
      <c r="C32" s="138" t="s">
        <v>116</v>
      </c>
      <c r="D32" s="139" t="s">
        <v>119</v>
      </c>
      <c r="E32" s="140"/>
      <c r="F32" s="169" t="s">
        <v>121</v>
      </c>
      <c r="G32" s="138" t="s">
        <v>124</v>
      </c>
      <c r="H32" s="170" t="s">
        <v>116</v>
      </c>
      <c r="I32" s="139" t="s">
        <v>128</v>
      </c>
      <c r="J32" s="141" t="s">
        <v>130</v>
      </c>
      <c r="K32" s="118"/>
      <c r="L32" s="14"/>
      <c r="M32" s="14"/>
      <c r="N32" s="14"/>
      <c r="O32" s="14"/>
      <c r="P32" s="14"/>
      <c r="Q32" s="14"/>
      <c r="R32" s="14"/>
      <c r="S32" s="14"/>
    </row>
    <row r="33" spans="1:19" ht="13.9" customHeight="1">
      <c r="A33" s="171"/>
      <c r="B33" s="143" t="s">
        <v>118</v>
      </c>
      <c r="C33" s="138" t="s">
        <v>43</v>
      </c>
      <c r="D33" s="138" t="s">
        <v>120</v>
      </c>
      <c r="E33" s="34"/>
      <c r="F33" s="143" t="s">
        <v>122</v>
      </c>
      <c r="G33" s="157"/>
      <c r="H33" s="138" t="s">
        <v>124</v>
      </c>
      <c r="I33" s="138" t="s">
        <v>46</v>
      </c>
      <c r="J33" s="144" t="s">
        <v>118</v>
      </c>
      <c r="K33" s="118"/>
      <c r="L33" s="14"/>
      <c r="M33" s="14"/>
      <c r="N33" s="14"/>
      <c r="O33" s="14"/>
      <c r="P33" s="14"/>
      <c r="Q33" s="14"/>
      <c r="R33" s="14"/>
      <c r="S33" s="14"/>
    </row>
    <row r="34" spans="1:19" ht="13.9" customHeight="1" thickBot="1">
      <c r="A34" s="145"/>
      <c r="B34" s="172" t="s">
        <v>12</v>
      </c>
      <c r="C34" s="173" t="s">
        <v>48</v>
      </c>
      <c r="D34" s="147" t="s">
        <v>12</v>
      </c>
      <c r="E34" s="174"/>
      <c r="F34" s="175" t="s">
        <v>47</v>
      </c>
      <c r="G34" s="176" t="s">
        <v>12</v>
      </c>
      <c r="H34" s="176" t="s">
        <v>48</v>
      </c>
      <c r="I34" s="173" t="s">
        <v>12</v>
      </c>
      <c r="J34" s="177" t="s">
        <v>12</v>
      </c>
      <c r="K34" s="123"/>
      <c r="L34" s="16"/>
      <c r="M34" s="16"/>
      <c r="N34" s="17"/>
      <c r="O34" s="16"/>
      <c r="P34" s="17"/>
      <c r="Q34" s="16"/>
      <c r="R34" s="18"/>
      <c r="S34" s="16"/>
    </row>
    <row r="35" spans="1:19" ht="13.9" customHeight="1">
      <c r="A35" s="152"/>
      <c r="B35" s="178"/>
      <c r="C35" s="157"/>
      <c r="D35" s="179"/>
      <c r="E35" s="180" t="s">
        <v>22</v>
      </c>
      <c r="F35" s="272">
        <f>IF(F25&lt;H9,(F25*(H8*H13))+H7,IF(F25&lt;H11,(F25*(H10*H13))+H7,(F25*(H12*H13))+H7))</f>
        <v>720000</v>
      </c>
      <c r="G35" s="179"/>
      <c r="H35" s="179"/>
      <c r="I35" s="179"/>
      <c r="J35" s="181"/>
      <c r="K35" s="118"/>
      <c r="L35" s="19"/>
      <c r="M35" s="19"/>
      <c r="N35" s="20"/>
      <c r="O35" s="19"/>
      <c r="P35" s="20"/>
      <c r="Q35" s="19"/>
      <c r="R35" s="19"/>
      <c r="S35" s="19"/>
    </row>
    <row r="36" spans="1:19" ht="13.9" customHeight="1" thickBot="1">
      <c r="A36" s="264">
        <f>A26</f>
        <v>2</v>
      </c>
      <c r="B36" s="420">
        <v>156160</v>
      </c>
      <c r="C36" s="268">
        <f>IF(B26=0,0,B36/B26)</f>
        <v>64</v>
      </c>
      <c r="D36" s="269">
        <f>D26*C36</f>
        <v>64000</v>
      </c>
      <c r="E36" s="182" t="s">
        <v>26</v>
      </c>
      <c r="F36" s="403">
        <f>IF(F26&lt;H9,(F26*H8)+H7,IF(F26&lt;=H11,(F26*H10)+H7,(F26*H12)+H7))</f>
        <v>128000</v>
      </c>
      <c r="G36" s="269">
        <f>B36+F35+F36-D36</f>
        <v>940160</v>
      </c>
      <c r="H36" s="269">
        <f>IF(G26=0,0,G36/G26)</f>
        <v>69.952380952380949</v>
      </c>
      <c r="I36" s="269">
        <f>I26*H36</f>
        <v>248330.95238095237</v>
      </c>
      <c r="J36" s="273">
        <f>G36-I36</f>
        <v>691829.04761904757</v>
      </c>
      <c r="K36" s="88"/>
    </row>
    <row r="37" spans="1:19" ht="13.9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9" ht="13.9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9" ht="16.149999999999999" customHeight="1">
      <c r="A39" s="119" t="s">
        <v>107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9" ht="13.9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1:19" ht="16.149999999999999" customHeight="1">
      <c r="A41" s="94" t="s">
        <v>108</v>
      </c>
      <c r="B41" s="88"/>
      <c r="C41" s="88"/>
      <c r="D41" s="88"/>
      <c r="E41" s="88"/>
      <c r="F41" s="88"/>
      <c r="G41" s="184"/>
      <c r="H41" s="185"/>
      <c r="I41" s="185"/>
      <c r="J41" s="186"/>
      <c r="K41" s="88"/>
    </row>
    <row r="42" spans="1:19" ht="13.9" customHeight="1" thickBot="1">
      <c r="A42" s="124"/>
      <c r="B42" s="125" t="s">
        <v>142</v>
      </c>
      <c r="C42" s="94"/>
      <c r="D42" s="94"/>
      <c r="E42" s="94"/>
      <c r="F42" s="126"/>
      <c r="G42" s="127">
        <v>1</v>
      </c>
      <c r="H42" s="94"/>
      <c r="I42" s="94"/>
      <c r="J42" s="88"/>
      <c r="K42" s="88"/>
    </row>
    <row r="43" spans="1:19" ht="13.9" customHeight="1">
      <c r="A43" s="128" t="s">
        <v>13</v>
      </c>
      <c r="B43" s="129" t="s">
        <v>2</v>
      </c>
      <c r="C43" s="130" t="s">
        <v>112</v>
      </c>
      <c r="D43" s="131" t="s">
        <v>145</v>
      </c>
      <c r="E43" s="132"/>
      <c r="F43" s="133" t="s">
        <v>14</v>
      </c>
      <c r="G43" s="131" t="s">
        <v>123</v>
      </c>
      <c r="H43" s="134" t="s">
        <v>15</v>
      </c>
      <c r="I43" s="131" t="s">
        <v>141</v>
      </c>
      <c r="J43" s="135" t="s">
        <v>123</v>
      </c>
      <c r="K43" s="88"/>
    </row>
    <row r="44" spans="1:19" ht="13.9" customHeight="1">
      <c r="A44" s="136" t="s">
        <v>18</v>
      </c>
      <c r="B44" s="137" t="s">
        <v>138</v>
      </c>
      <c r="C44" s="138" t="s">
        <v>113</v>
      </c>
      <c r="D44" s="139" t="s">
        <v>147</v>
      </c>
      <c r="E44" s="140"/>
      <c r="F44" s="137" t="s">
        <v>136</v>
      </c>
      <c r="G44" s="139" t="s">
        <v>136</v>
      </c>
      <c r="H44" s="139" t="s">
        <v>46</v>
      </c>
      <c r="I44" s="139" t="s">
        <v>137</v>
      </c>
      <c r="J44" s="141" t="s">
        <v>138</v>
      </c>
      <c r="K44" s="88"/>
    </row>
    <row r="45" spans="1:19" ht="13.9" customHeight="1">
      <c r="A45" s="142"/>
      <c r="B45" s="143" t="s">
        <v>111</v>
      </c>
      <c r="C45" s="138"/>
      <c r="D45" s="138" t="s">
        <v>136</v>
      </c>
      <c r="E45" s="34"/>
      <c r="F45" s="143"/>
      <c r="G45" s="138" t="s">
        <v>124</v>
      </c>
      <c r="H45" s="138" t="s">
        <v>139</v>
      </c>
      <c r="I45" s="138" t="s">
        <v>46</v>
      </c>
      <c r="J45" s="144" t="s">
        <v>129</v>
      </c>
      <c r="K45" s="88"/>
    </row>
    <row r="46" spans="1:19" ht="13.9" customHeight="1" thickBot="1">
      <c r="A46" s="145"/>
      <c r="B46" s="146" t="s">
        <v>65</v>
      </c>
      <c r="C46" s="147"/>
      <c r="D46" s="147" t="s">
        <v>65</v>
      </c>
      <c r="E46" s="148"/>
      <c r="F46" s="149" t="s">
        <v>65</v>
      </c>
      <c r="G46" s="147" t="s">
        <v>65</v>
      </c>
      <c r="H46" s="187" t="s">
        <v>140</v>
      </c>
      <c r="I46" s="147" t="s">
        <v>65</v>
      </c>
      <c r="J46" s="151" t="s">
        <v>65</v>
      </c>
      <c r="K46" s="88"/>
    </row>
    <row r="47" spans="1:19" ht="13.9" customHeight="1">
      <c r="A47" s="188"/>
      <c r="B47" s="189"/>
      <c r="C47" s="154"/>
      <c r="D47" s="153"/>
      <c r="E47" s="190" t="s">
        <v>22</v>
      </c>
      <c r="F47" s="423">
        <v>4000</v>
      </c>
      <c r="G47" s="189"/>
      <c r="H47" s="178"/>
      <c r="I47" s="189"/>
      <c r="J47" s="191"/>
      <c r="K47" s="88"/>
    </row>
    <row r="48" spans="1:19" ht="13.9" customHeight="1" thickBot="1">
      <c r="A48" s="274">
        <f>C1</f>
        <v>2</v>
      </c>
      <c r="B48" s="421">
        <v>22000</v>
      </c>
      <c r="C48" s="159"/>
      <c r="D48" s="422">
        <v>1000</v>
      </c>
      <c r="E48" s="192" t="s">
        <v>26</v>
      </c>
      <c r="F48" s="421">
        <v>3000</v>
      </c>
      <c r="G48" s="275">
        <f>B48-D48+F47+F48</f>
        <v>28000</v>
      </c>
      <c r="H48" s="276">
        <f ca="1">CENA!E18</f>
        <v>7390</v>
      </c>
      <c r="I48" s="275">
        <f>H48*G42</f>
        <v>7390</v>
      </c>
      <c r="J48" s="277">
        <f>G48-I48</f>
        <v>20610</v>
      </c>
      <c r="K48" s="88"/>
    </row>
    <row r="49" spans="1:11" ht="13.9" customHeight="1">
      <c r="A49" s="193"/>
      <c r="B49" s="194"/>
      <c r="C49" s="186"/>
      <c r="D49" s="194"/>
      <c r="E49" s="194"/>
      <c r="F49" s="195"/>
      <c r="G49" s="194"/>
      <c r="H49" s="194"/>
      <c r="I49" s="194"/>
      <c r="J49" s="194"/>
      <c r="K49" s="88"/>
    </row>
    <row r="50" spans="1:11" ht="16.149999999999999" customHeight="1">
      <c r="A50" s="94" t="s">
        <v>109</v>
      </c>
      <c r="B50" s="45"/>
      <c r="C50" s="88"/>
      <c r="D50" s="45"/>
      <c r="E50" s="45"/>
      <c r="F50" s="45"/>
      <c r="G50" s="161"/>
      <c r="H50" s="45"/>
      <c r="I50" s="45"/>
      <c r="J50" s="45"/>
      <c r="K50" s="88"/>
    </row>
    <row r="51" spans="1:11" ht="13.9" customHeight="1" thickBot="1">
      <c r="A51" s="124"/>
      <c r="B51" s="125" t="s">
        <v>143</v>
      </c>
      <c r="C51" s="88"/>
      <c r="D51" s="45"/>
      <c r="E51" s="45"/>
      <c r="F51" s="45"/>
      <c r="G51" s="45"/>
      <c r="H51" s="45"/>
      <c r="I51" s="45"/>
      <c r="J51" s="45"/>
      <c r="K51" s="88"/>
    </row>
    <row r="52" spans="1:11" ht="13.9" customHeight="1">
      <c r="A52" s="164" t="s">
        <v>13</v>
      </c>
      <c r="B52" s="129" t="s">
        <v>4</v>
      </c>
      <c r="C52" s="130" t="s">
        <v>114</v>
      </c>
      <c r="D52" s="131" t="s">
        <v>38</v>
      </c>
      <c r="E52" s="132"/>
      <c r="F52" s="133" t="s">
        <v>39</v>
      </c>
      <c r="G52" s="131" t="s">
        <v>40</v>
      </c>
      <c r="H52" s="134" t="s">
        <v>114</v>
      </c>
      <c r="I52" s="134" t="s">
        <v>4</v>
      </c>
      <c r="J52" s="165" t="s">
        <v>4</v>
      </c>
      <c r="K52" s="88"/>
    </row>
    <row r="53" spans="1:11" ht="13.9" customHeight="1">
      <c r="A53" s="166" t="s">
        <v>18</v>
      </c>
      <c r="B53" s="137" t="s">
        <v>136</v>
      </c>
      <c r="C53" s="138" t="s">
        <v>115</v>
      </c>
      <c r="D53" s="139" t="s">
        <v>44</v>
      </c>
      <c r="E53" s="167"/>
      <c r="F53" s="137" t="s">
        <v>45</v>
      </c>
      <c r="G53" s="168" t="s">
        <v>136</v>
      </c>
      <c r="H53" s="139" t="s">
        <v>115</v>
      </c>
      <c r="I53" s="139" t="s">
        <v>136</v>
      </c>
      <c r="J53" s="141" t="s">
        <v>136</v>
      </c>
      <c r="K53" s="88"/>
    </row>
    <row r="54" spans="1:11" ht="13.9" customHeight="1">
      <c r="A54" s="166"/>
      <c r="B54" s="137" t="s">
        <v>43</v>
      </c>
      <c r="C54" s="138" t="s">
        <v>116</v>
      </c>
      <c r="D54" s="139" t="s">
        <v>119</v>
      </c>
      <c r="E54" s="140"/>
      <c r="F54" s="169" t="s">
        <v>121</v>
      </c>
      <c r="G54" s="138" t="s">
        <v>124</v>
      </c>
      <c r="H54" s="170" t="s">
        <v>116</v>
      </c>
      <c r="I54" s="139" t="s">
        <v>137</v>
      </c>
      <c r="J54" s="141" t="s">
        <v>130</v>
      </c>
      <c r="K54" s="88"/>
    </row>
    <row r="55" spans="1:11" ht="13.9" customHeight="1">
      <c r="A55" s="171"/>
      <c r="B55" s="143" t="s">
        <v>118</v>
      </c>
      <c r="C55" s="138" t="s">
        <v>43</v>
      </c>
      <c r="D55" s="138" t="s">
        <v>120</v>
      </c>
      <c r="E55" s="34"/>
      <c r="F55" s="143" t="s">
        <v>122</v>
      </c>
      <c r="G55" s="157"/>
      <c r="H55" s="138" t="s">
        <v>124</v>
      </c>
      <c r="I55" s="138" t="s">
        <v>46</v>
      </c>
      <c r="J55" s="144" t="s">
        <v>118</v>
      </c>
      <c r="K55" s="88"/>
    </row>
    <row r="56" spans="1:11" ht="13.9" customHeight="1" thickBot="1">
      <c r="A56" s="145"/>
      <c r="B56" s="172" t="s">
        <v>12</v>
      </c>
      <c r="C56" s="173" t="s">
        <v>11</v>
      </c>
      <c r="D56" s="147" t="s">
        <v>12</v>
      </c>
      <c r="E56" s="174"/>
      <c r="F56" s="175" t="s">
        <v>47</v>
      </c>
      <c r="G56" s="176" t="s">
        <v>12</v>
      </c>
      <c r="H56" s="176" t="s">
        <v>11</v>
      </c>
      <c r="I56" s="173" t="s">
        <v>12</v>
      </c>
      <c r="J56" s="177" t="s">
        <v>12</v>
      </c>
      <c r="K56" s="88"/>
    </row>
    <row r="57" spans="1:11" ht="13.9" customHeight="1">
      <c r="A57" s="188"/>
      <c r="B57" s="196"/>
      <c r="C57" s="197"/>
      <c r="D57" s="196"/>
      <c r="E57" s="198" t="s">
        <v>22</v>
      </c>
      <c r="F57" s="279">
        <f>IF(F47&lt;I9,(F47*(I8*I13))+I7*I13,IF(F47&lt;I11,(F47*(I10*I13))+I7*I13,(F47*(I12*I13))+I7*I13))</f>
        <v>3045000</v>
      </c>
      <c r="G57" s="196"/>
      <c r="H57" s="196"/>
      <c r="I57" s="196"/>
      <c r="J57" s="199"/>
      <c r="K57" s="88"/>
    </row>
    <row r="58" spans="1:11" ht="13.5" thickBot="1">
      <c r="A58" s="274">
        <f>C1</f>
        <v>2</v>
      </c>
      <c r="B58" s="424">
        <v>10217308</v>
      </c>
      <c r="C58" s="268">
        <f>IF(B48=0,0,B58/B48)</f>
        <v>464.42309090909089</v>
      </c>
      <c r="D58" s="278">
        <f>D48*C58</f>
        <v>464423.09090909088</v>
      </c>
      <c r="E58" s="200" t="s">
        <v>26</v>
      </c>
      <c r="F58" s="402">
        <f>IF(F48&lt;I9,(F48*I8)+I7,IF(F48&lt;I11,(F48*I10)+I7,(F48*I12)+I7))</f>
        <v>1530000</v>
      </c>
      <c r="G58" s="278">
        <f>B58-D58+F57+F58</f>
        <v>14327884.909090908</v>
      </c>
      <c r="H58" s="278">
        <f>G58/G48</f>
        <v>511.71017532467528</v>
      </c>
      <c r="I58" s="278">
        <f>I48*H58</f>
        <v>3781538.1956493501</v>
      </c>
      <c r="J58" s="280">
        <f>G58-I58</f>
        <v>10546346.713441558</v>
      </c>
      <c r="K58" s="88"/>
    </row>
  </sheetData>
  <mergeCells count="1">
    <mergeCell ref="L9:N9"/>
  </mergeCells>
  <phoneticPr fontId="9" type="noConversion"/>
  <pageMargins left="0.59055118110236227" right="0" top="0" bottom="0" header="0" footer="0.19685039370078741"/>
  <pageSetup paperSize="9" orientation="portrait" horizontalDpi="4294967294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="110" workbookViewId="0">
      <selection activeCell="D25" sqref="D25"/>
    </sheetView>
  </sheetViews>
  <sheetFormatPr defaultRowHeight="12.75"/>
  <cols>
    <col min="1" max="1" width="3" customWidth="1"/>
    <col min="2" max="2" width="10.85546875" customWidth="1"/>
    <col min="3" max="3" width="11" customWidth="1"/>
    <col min="4" max="4" width="13.5703125" customWidth="1"/>
    <col min="5" max="5" width="13.140625" customWidth="1"/>
    <col min="6" max="6" width="11.7109375" customWidth="1"/>
    <col min="7" max="7" width="16.28515625" customWidth="1"/>
    <col min="8" max="8" width="11.42578125" customWidth="1"/>
    <col min="9" max="9" width="6.28515625" customWidth="1"/>
  </cols>
  <sheetData>
    <row r="1" spans="1:15" ht="15.75">
      <c r="A1" s="88"/>
      <c r="B1" s="92" t="s">
        <v>97</v>
      </c>
      <c r="C1" s="262">
        <f ca="1">CENA!C1</f>
        <v>2</v>
      </c>
      <c r="D1" s="92" t="s">
        <v>256</v>
      </c>
      <c r="F1" s="262">
        <f ca="1">CENA!E1</f>
        <v>0</v>
      </c>
      <c r="G1" s="286"/>
      <c r="H1" s="92" t="s">
        <v>95</v>
      </c>
      <c r="I1" s="262">
        <f ca="1">CENA!C3</f>
        <v>1</v>
      </c>
      <c r="J1" s="232"/>
      <c r="K1" s="232"/>
      <c r="L1" s="232"/>
      <c r="M1" s="232"/>
      <c r="N1" s="232"/>
      <c r="O1" s="232"/>
    </row>
    <row r="2" spans="1:15">
      <c r="A2" s="88"/>
      <c r="B2" s="88"/>
      <c r="C2" s="88"/>
      <c r="D2" s="88"/>
      <c r="E2" s="88"/>
      <c r="F2" s="88"/>
      <c r="G2" s="88"/>
      <c r="H2" s="88"/>
      <c r="I2" s="231"/>
      <c r="J2" s="232"/>
      <c r="K2" s="232"/>
      <c r="L2" s="232"/>
      <c r="M2" s="232"/>
      <c r="N2" s="232"/>
      <c r="O2" s="232"/>
    </row>
    <row r="3" spans="1:15" ht="15.75">
      <c r="A3" s="119" t="s">
        <v>196</v>
      </c>
      <c r="I3" s="231"/>
      <c r="J3" s="232"/>
      <c r="K3" s="232"/>
      <c r="L3" s="232"/>
      <c r="M3" s="232"/>
      <c r="N3" s="232"/>
      <c r="O3" s="232"/>
    </row>
    <row r="4" spans="1:15">
      <c r="A4" s="232"/>
      <c r="B4" s="232"/>
      <c r="C4" s="232"/>
      <c r="D4" s="232"/>
      <c r="E4" s="232"/>
      <c r="F4" s="232"/>
      <c r="G4" s="232"/>
      <c r="H4" s="232"/>
      <c r="I4" s="231"/>
      <c r="J4" s="232"/>
      <c r="K4" s="232"/>
      <c r="L4" s="232"/>
      <c r="M4" s="232"/>
      <c r="N4" s="232"/>
      <c r="O4" s="232"/>
    </row>
    <row r="5" spans="1:15" ht="15.75">
      <c r="A5" s="233" t="s">
        <v>197</v>
      </c>
      <c r="B5" s="234"/>
      <c r="C5" s="234"/>
      <c r="D5" s="234"/>
      <c r="E5" s="234"/>
      <c r="F5" s="235"/>
      <c r="G5" s="236"/>
      <c r="H5" s="88"/>
      <c r="I5" s="231"/>
      <c r="J5" s="232"/>
      <c r="K5" s="232"/>
      <c r="L5" s="232"/>
      <c r="M5" s="232"/>
      <c r="N5" s="232"/>
      <c r="O5" s="232"/>
    </row>
    <row r="6" spans="1:15" ht="15.75">
      <c r="A6" s="231"/>
      <c r="B6" s="231"/>
      <c r="C6" s="231"/>
      <c r="D6" s="231"/>
      <c r="E6" s="231"/>
      <c r="F6" s="231"/>
      <c r="G6" s="231"/>
      <c r="H6" s="237"/>
      <c r="I6" s="238"/>
      <c r="J6" s="232"/>
      <c r="K6" s="232"/>
      <c r="L6" s="232"/>
      <c r="M6" s="232"/>
      <c r="N6" s="232"/>
      <c r="O6" s="232"/>
    </row>
    <row r="7" spans="1:15" ht="16.5" thickBot="1">
      <c r="A7" s="239" t="s">
        <v>198</v>
      </c>
      <c r="B7" s="240"/>
      <c r="C7" s="240"/>
      <c r="D7" s="240"/>
      <c r="E7" s="240"/>
      <c r="F7" s="241"/>
      <c r="G7" s="241"/>
      <c r="H7" s="88"/>
      <c r="I7" s="242"/>
      <c r="J7" s="232"/>
      <c r="K7" s="232"/>
      <c r="L7" s="232"/>
      <c r="M7" s="232"/>
      <c r="N7" s="232"/>
      <c r="O7" s="232"/>
    </row>
    <row r="8" spans="1:15" ht="15">
      <c r="A8" s="128" t="s">
        <v>13</v>
      </c>
      <c r="B8" s="129" t="s">
        <v>253</v>
      </c>
      <c r="C8" s="130" t="s">
        <v>112</v>
      </c>
      <c r="D8" s="133" t="s">
        <v>14</v>
      </c>
      <c r="E8" s="131" t="s">
        <v>254</v>
      </c>
      <c r="F8" s="134" t="s">
        <v>112</v>
      </c>
      <c r="G8" s="134" t="s">
        <v>253</v>
      </c>
      <c r="H8" s="165" t="s">
        <v>253</v>
      </c>
      <c r="I8" s="242"/>
      <c r="J8" s="232"/>
      <c r="K8" s="232"/>
      <c r="L8" s="232"/>
      <c r="M8" s="232"/>
      <c r="N8" s="232"/>
      <c r="O8" s="232"/>
    </row>
    <row r="9" spans="1:15" ht="15.75">
      <c r="A9" s="136" t="s">
        <v>18</v>
      </c>
      <c r="B9" s="137" t="s">
        <v>199</v>
      </c>
      <c r="C9" s="138" t="s">
        <v>113</v>
      </c>
      <c r="D9" s="137" t="s">
        <v>200</v>
      </c>
      <c r="E9" s="139" t="s">
        <v>200</v>
      </c>
      <c r="F9" s="139" t="s">
        <v>113</v>
      </c>
      <c r="G9" s="139" t="s">
        <v>201</v>
      </c>
      <c r="H9" s="141" t="s">
        <v>199</v>
      </c>
      <c r="I9" s="238"/>
      <c r="J9" s="232"/>
      <c r="K9" s="232"/>
      <c r="L9" s="232"/>
      <c r="M9" s="232"/>
      <c r="N9" s="232"/>
      <c r="O9" s="232"/>
    </row>
    <row r="10" spans="1:15" ht="15.75">
      <c r="A10" s="142"/>
      <c r="B10" s="143" t="s">
        <v>111</v>
      </c>
      <c r="C10" s="138"/>
      <c r="D10" s="143" t="s">
        <v>202</v>
      </c>
      <c r="E10" s="138" t="s">
        <v>124</v>
      </c>
      <c r="F10" s="138"/>
      <c r="G10" s="138" t="s">
        <v>203</v>
      </c>
      <c r="H10" s="144" t="s">
        <v>129</v>
      </c>
      <c r="I10" s="238"/>
      <c r="J10" s="232"/>
      <c r="K10" s="232"/>
      <c r="L10" s="232"/>
      <c r="M10" s="232"/>
      <c r="N10" s="232"/>
      <c r="O10" s="232"/>
    </row>
    <row r="11" spans="1:15" ht="16.5" thickBot="1">
      <c r="A11" s="145"/>
      <c r="B11" s="146" t="s">
        <v>204</v>
      </c>
      <c r="C11" s="147"/>
      <c r="D11" s="149" t="s">
        <v>204</v>
      </c>
      <c r="E11" s="147" t="s">
        <v>204</v>
      </c>
      <c r="F11" s="187"/>
      <c r="G11" s="147" t="s">
        <v>65</v>
      </c>
      <c r="H11" s="177" t="s">
        <v>204</v>
      </c>
      <c r="I11" s="238"/>
      <c r="J11" s="232"/>
      <c r="K11" s="232"/>
      <c r="L11" s="232"/>
      <c r="M11" s="232"/>
      <c r="N11" s="232"/>
      <c r="O11" s="232"/>
    </row>
    <row r="12" spans="1:15">
      <c r="A12" s="152"/>
      <c r="B12" s="153"/>
      <c r="C12" s="154"/>
      <c r="E12" s="155"/>
      <c r="F12" s="154"/>
      <c r="G12" s="155"/>
      <c r="H12" s="158"/>
      <c r="I12" s="231"/>
      <c r="J12" s="232"/>
      <c r="K12" s="232"/>
      <c r="L12" s="232"/>
      <c r="M12" s="232"/>
      <c r="N12" s="232"/>
      <c r="O12" s="232"/>
    </row>
    <row r="13" spans="1:15" ht="13.5" thickBot="1">
      <c r="A13" s="264">
        <f>C1</f>
        <v>2</v>
      </c>
      <c r="B13" s="426">
        <v>1100</v>
      </c>
      <c r="C13" s="159"/>
      <c r="D13" s="283">
        <f ca="1">CENA!E10</f>
        <v>6390</v>
      </c>
      <c r="E13" s="266">
        <f ca="1">B13+D13</f>
        <v>7490</v>
      </c>
      <c r="F13" s="159"/>
      <c r="G13" s="266">
        <f ca="1">CENA!E18</f>
        <v>7390</v>
      </c>
      <c r="H13" s="270">
        <f>E13-G13</f>
        <v>100</v>
      </c>
      <c r="I13" s="231"/>
      <c r="J13" s="232"/>
      <c r="K13" s="232"/>
      <c r="L13" s="232"/>
      <c r="M13" s="232"/>
      <c r="N13" s="232"/>
      <c r="O13" s="232"/>
    </row>
    <row r="14" spans="1:15">
      <c r="A14" s="231"/>
      <c r="B14" s="231"/>
      <c r="C14" s="231"/>
      <c r="D14" s="231"/>
      <c r="E14" s="231"/>
      <c r="F14" s="231"/>
      <c r="G14" s="231"/>
      <c r="H14" s="231"/>
      <c r="I14" s="243"/>
      <c r="J14" s="232"/>
      <c r="K14" s="232"/>
      <c r="L14" s="232"/>
      <c r="M14" s="232"/>
      <c r="N14" s="232"/>
      <c r="O14" s="232"/>
    </row>
    <row r="15" spans="1:1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ht="16.5" thickBot="1">
      <c r="A16" s="239" t="s">
        <v>205</v>
      </c>
      <c r="B16" s="244"/>
      <c r="C16" s="245"/>
      <c r="D16" s="246"/>
      <c r="E16" s="246"/>
      <c r="F16" s="246"/>
      <c r="G16" s="246"/>
      <c r="H16" s="246"/>
      <c r="I16" s="243"/>
      <c r="J16" s="232"/>
      <c r="K16" s="232"/>
      <c r="L16" s="232"/>
      <c r="M16" s="232"/>
      <c r="N16" s="232"/>
      <c r="O16" s="232"/>
    </row>
    <row r="17" spans="1:15">
      <c r="A17" s="164" t="s">
        <v>13</v>
      </c>
      <c r="B17" s="129" t="s">
        <v>4</v>
      </c>
      <c r="C17" s="130" t="s">
        <v>114</v>
      </c>
      <c r="D17" s="133" t="s">
        <v>39</v>
      </c>
      <c r="E17" s="131" t="s">
        <v>40</v>
      </c>
      <c r="F17" s="134" t="s">
        <v>114</v>
      </c>
      <c r="G17" s="134" t="s">
        <v>4</v>
      </c>
      <c r="H17" s="165" t="s">
        <v>4</v>
      </c>
      <c r="I17" s="243"/>
      <c r="J17" s="232"/>
      <c r="K17" s="232"/>
      <c r="L17" s="232"/>
      <c r="M17" s="232"/>
      <c r="N17" s="232"/>
      <c r="O17" s="232"/>
    </row>
    <row r="18" spans="1:15">
      <c r="A18" s="166" t="s">
        <v>18</v>
      </c>
      <c r="B18" s="137" t="s">
        <v>200</v>
      </c>
      <c r="C18" s="138" t="s">
        <v>115</v>
      </c>
      <c r="D18" s="137" t="s">
        <v>45</v>
      </c>
      <c r="E18" s="168" t="s">
        <v>206</v>
      </c>
      <c r="F18" s="139" t="s">
        <v>115</v>
      </c>
      <c r="G18" s="139" t="s">
        <v>207</v>
      </c>
      <c r="H18" s="141" t="s">
        <v>200</v>
      </c>
      <c r="I18" s="247"/>
      <c r="J18" s="232"/>
      <c r="K18" s="232"/>
      <c r="L18" s="232"/>
      <c r="M18" s="232"/>
      <c r="N18" s="232"/>
      <c r="O18" s="232"/>
    </row>
    <row r="19" spans="1:15">
      <c r="A19" s="166"/>
      <c r="B19" s="137" t="s">
        <v>43</v>
      </c>
      <c r="C19" s="138" t="s">
        <v>116</v>
      </c>
      <c r="D19" s="169" t="s">
        <v>208</v>
      </c>
      <c r="E19" s="138" t="s">
        <v>200</v>
      </c>
      <c r="F19" s="170" t="s">
        <v>116</v>
      </c>
      <c r="G19" s="139" t="s">
        <v>119</v>
      </c>
      <c r="H19" s="141" t="s">
        <v>130</v>
      </c>
      <c r="I19" s="243"/>
      <c r="J19" s="232"/>
      <c r="K19" s="232"/>
      <c r="L19" s="232"/>
      <c r="M19" s="232"/>
      <c r="N19" s="232"/>
      <c r="O19" s="232"/>
    </row>
    <row r="20" spans="1:15">
      <c r="A20" s="171"/>
      <c r="B20" s="143" t="s">
        <v>118</v>
      </c>
      <c r="C20" s="138" t="s">
        <v>43</v>
      </c>
      <c r="D20" s="143" t="s">
        <v>209</v>
      </c>
      <c r="E20" s="138" t="s">
        <v>124</v>
      </c>
      <c r="F20" s="138" t="s">
        <v>124</v>
      </c>
      <c r="G20" s="138" t="s">
        <v>210</v>
      </c>
      <c r="H20" s="144" t="s">
        <v>118</v>
      </c>
      <c r="I20" s="248"/>
      <c r="J20" s="232"/>
      <c r="K20" s="232"/>
      <c r="L20" s="232"/>
      <c r="M20" s="232"/>
      <c r="N20" s="232"/>
      <c r="O20" s="232"/>
    </row>
    <row r="21" spans="1:15" ht="13.5" thickBot="1">
      <c r="A21" s="145"/>
      <c r="B21" s="172" t="s">
        <v>12</v>
      </c>
      <c r="C21" s="173" t="s">
        <v>260</v>
      </c>
      <c r="D21" s="175" t="s">
        <v>47</v>
      </c>
      <c r="E21" s="176" t="s">
        <v>12</v>
      </c>
      <c r="F21" s="176" t="s">
        <v>11</v>
      </c>
      <c r="G21" s="173" t="s">
        <v>12</v>
      </c>
      <c r="H21" s="177" t="s">
        <v>12</v>
      </c>
      <c r="I21" s="248"/>
      <c r="J21" s="232"/>
      <c r="K21" s="232"/>
      <c r="L21" s="232"/>
      <c r="M21" s="232"/>
      <c r="N21" s="232"/>
      <c r="O21" s="232"/>
    </row>
    <row r="22" spans="1:15">
      <c r="A22" s="152"/>
      <c r="B22" s="178"/>
      <c r="C22" s="157"/>
      <c r="E22" s="179"/>
      <c r="F22" s="179"/>
      <c r="G22" s="179"/>
      <c r="H22" s="181"/>
      <c r="I22" s="248"/>
      <c r="J22" s="232"/>
      <c r="K22" s="232"/>
      <c r="L22" s="232"/>
      <c r="M22" s="232"/>
      <c r="N22" s="232"/>
      <c r="O22" s="232"/>
    </row>
    <row r="23" spans="1:15" ht="13.5" thickBot="1">
      <c r="A23" s="264">
        <f>C1</f>
        <v>2</v>
      </c>
      <c r="B23" s="427">
        <v>45607</v>
      </c>
      <c r="C23" s="284">
        <f>IF(B23=0,0,B13/B23)</f>
        <v>2.4119104523428421E-2</v>
      </c>
      <c r="D23" s="271">
        <f ca="1">CENA!G10</f>
        <v>283612.2321428571</v>
      </c>
      <c r="E23" s="271">
        <f>D23+B23</f>
        <v>329219.2321428571</v>
      </c>
      <c r="F23" s="285">
        <f>IF(E13=0,0,E23/E13)</f>
        <v>43.954503623879454</v>
      </c>
      <c r="G23" s="269">
        <f>F23*G13</f>
        <v>324823.78178046917</v>
      </c>
      <c r="H23" s="273">
        <f>E23-G23</f>
        <v>4395.4503623879282</v>
      </c>
      <c r="I23" s="248"/>
      <c r="J23" s="232"/>
      <c r="K23" s="232"/>
      <c r="L23" s="232"/>
      <c r="M23" s="232"/>
      <c r="N23" s="232"/>
      <c r="O23" s="232"/>
    </row>
    <row r="24" spans="1:15">
      <c r="A24" s="232"/>
      <c r="B24" s="232"/>
      <c r="C24" s="232"/>
      <c r="D24" s="232"/>
      <c r="E24" s="232"/>
      <c r="F24" s="232"/>
      <c r="G24" s="232"/>
      <c r="H24" s="232"/>
      <c r="I24" s="248"/>
      <c r="J24" s="232"/>
      <c r="K24" s="232"/>
      <c r="L24" s="232"/>
      <c r="M24" s="232"/>
      <c r="N24" s="232"/>
      <c r="O24" s="232"/>
    </row>
    <row r="25" spans="1:15">
      <c r="A25" s="232"/>
      <c r="B25" s="232"/>
      <c r="C25" s="232"/>
      <c r="D25" s="232"/>
      <c r="E25" s="232"/>
      <c r="F25" s="253"/>
      <c r="G25" s="252"/>
      <c r="H25" s="232"/>
      <c r="I25" s="248"/>
      <c r="J25" s="232"/>
      <c r="K25" s="232"/>
      <c r="L25" s="232"/>
      <c r="M25" s="232"/>
      <c r="N25" s="232"/>
      <c r="O25" s="232"/>
    </row>
    <row r="26" spans="1:15">
      <c r="A26" s="232"/>
      <c r="B26" s="232"/>
      <c r="C26" s="232"/>
      <c r="D26" s="232"/>
      <c r="E26" s="232"/>
      <c r="F26" s="232"/>
      <c r="G26" s="232"/>
      <c r="H26" s="232"/>
      <c r="I26" s="248"/>
      <c r="J26" s="232"/>
      <c r="K26" s="232"/>
      <c r="L26" s="232"/>
      <c r="M26" s="232"/>
      <c r="N26" s="232"/>
      <c r="O26" s="232"/>
    </row>
    <row r="27" spans="1:15" ht="15.75">
      <c r="A27" s="249" t="s">
        <v>258</v>
      </c>
      <c r="B27" s="88"/>
      <c r="C27" s="88"/>
      <c r="D27" s="88"/>
      <c r="E27" s="88"/>
      <c r="F27" s="88"/>
      <c r="G27" s="88"/>
      <c r="H27" s="122"/>
      <c r="I27" s="248"/>
      <c r="J27" s="232"/>
      <c r="K27" s="232"/>
      <c r="L27" s="232"/>
      <c r="M27" s="232"/>
      <c r="N27" s="232"/>
      <c r="O27" s="232"/>
    </row>
    <row r="28" spans="1:15" ht="15.75">
      <c r="A28" s="232"/>
      <c r="B28" s="238"/>
      <c r="C28" s="238"/>
      <c r="D28" s="231"/>
      <c r="E28" s="238"/>
      <c r="F28" s="238"/>
      <c r="G28" s="238"/>
      <c r="H28" s="237"/>
      <c r="I28" s="248"/>
      <c r="J28" s="232"/>
      <c r="K28" s="232"/>
      <c r="L28" s="232"/>
      <c r="M28" s="232"/>
      <c r="N28" s="232"/>
      <c r="O28" s="232"/>
    </row>
    <row r="29" spans="1:15" ht="16.5" thickBot="1">
      <c r="A29" s="250" t="s">
        <v>211</v>
      </c>
      <c r="F29" s="94"/>
      <c r="G29" s="94"/>
      <c r="H29" s="88"/>
      <c r="I29" s="251"/>
      <c r="J29" s="232"/>
      <c r="K29" s="232"/>
      <c r="L29" s="232"/>
      <c r="M29" s="232"/>
      <c r="N29" s="232"/>
      <c r="O29" s="232"/>
    </row>
    <row r="30" spans="1:15">
      <c r="A30" s="128" t="s">
        <v>13</v>
      </c>
      <c r="B30" s="129" t="s">
        <v>253</v>
      </c>
      <c r="C30" s="130" t="s">
        <v>112</v>
      </c>
      <c r="D30" s="133" t="s">
        <v>14</v>
      </c>
      <c r="E30" s="131" t="s">
        <v>254</v>
      </c>
      <c r="F30" s="134" t="s">
        <v>112</v>
      </c>
      <c r="G30" s="134" t="s">
        <v>253</v>
      </c>
      <c r="H30" s="165" t="s">
        <v>253</v>
      </c>
      <c r="I30" s="248"/>
      <c r="J30" s="232"/>
      <c r="K30" s="232"/>
      <c r="L30" s="232"/>
      <c r="M30" s="232"/>
      <c r="N30" s="232"/>
      <c r="O30" s="232"/>
    </row>
    <row r="31" spans="1:15">
      <c r="A31" s="136" t="s">
        <v>18</v>
      </c>
      <c r="B31" s="137" t="s">
        <v>199</v>
      </c>
      <c r="C31" s="138" t="s">
        <v>113</v>
      </c>
      <c r="D31" s="137" t="s">
        <v>200</v>
      </c>
      <c r="E31" s="139" t="s">
        <v>200</v>
      </c>
      <c r="F31" s="139" t="s">
        <v>113</v>
      </c>
      <c r="G31" s="139" t="s">
        <v>212</v>
      </c>
      <c r="H31" s="141" t="s">
        <v>199</v>
      </c>
      <c r="I31" s="243"/>
      <c r="J31" s="232"/>
      <c r="K31" s="232"/>
      <c r="L31" s="232"/>
      <c r="M31" s="232"/>
      <c r="N31" s="232"/>
      <c r="O31" s="232"/>
    </row>
    <row r="32" spans="1:15">
      <c r="A32" s="142"/>
      <c r="B32" s="143" t="s">
        <v>111</v>
      </c>
      <c r="C32" s="138"/>
      <c r="D32" s="143" t="s">
        <v>202</v>
      </c>
      <c r="E32" s="138" t="s">
        <v>124</v>
      </c>
      <c r="F32" s="138"/>
      <c r="G32" s="138" t="s">
        <v>200</v>
      </c>
      <c r="H32" s="144" t="s">
        <v>129</v>
      </c>
      <c r="I32" s="243"/>
      <c r="J32" s="232"/>
      <c r="K32" s="232"/>
      <c r="L32" s="232"/>
      <c r="M32" s="232"/>
      <c r="N32" s="232"/>
      <c r="O32" s="232"/>
    </row>
    <row r="33" spans="1:15" ht="13.5" thickBot="1">
      <c r="A33" s="145"/>
      <c r="B33" s="146" t="s">
        <v>204</v>
      </c>
      <c r="C33" s="147"/>
      <c r="D33" s="149" t="s">
        <v>204</v>
      </c>
      <c r="E33" s="147" t="s">
        <v>204</v>
      </c>
      <c r="F33" s="187"/>
      <c r="G33" s="147" t="s">
        <v>65</v>
      </c>
      <c r="H33" s="177" t="s">
        <v>204</v>
      </c>
      <c r="I33" s="243"/>
      <c r="J33" s="232"/>
      <c r="K33" s="232"/>
      <c r="L33" s="232"/>
      <c r="M33" s="232"/>
      <c r="N33" s="232"/>
      <c r="O33" s="232"/>
    </row>
    <row r="34" spans="1:15">
      <c r="A34" s="152"/>
      <c r="B34" s="153"/>
      <c r="C34" s="154"/>
      <c r="E34" s="155"/>
      <c r="F34" s="154"/>
      <c r="G34" s="155"/>
      <c r="H34" s="158"/>
      <c r="I34" s="247"/>
      <c r="J34" s="232"/>
      <c r="K34" s="232"/>
      <c r="L34" s="232"/>
      <c r="M34" s="232"/>
      <c r="N34" s="232"/>
      <c r="O34" s="232"/>
    </row>
    <row r="35" spans="1:15" ht="13.5" thickBot="1">
      <c r="A35" s="264">
        <f>A23</f>
        <v>2</v>
      </c>
      <c r="B35" s="417">
        <f>0</f>
        <v>0</v>
      </c>
      <c r="C35" s="159"/>
      <c r="D35" s="283">
        <f ca="1">CENA!E11</f>
        <v>710</v>
      </c>
      <c r="E35" s="266">
        <f>D35+B35</f>
        <v>710</v>
      </c>
      <c r="F35" s="159"/>
      <c r="G35" s="266">
        <f>E35</f>
        <v>710</v>
      </c>
      <c r="H35" s="270">
        <f>E35-G35</f>
        <v>0</v>
      </c>
      <c r="I35" s="243"/>
      <c r="J35" s="232"/>
      <c r="K35" s="232"/>
      <c r="L35" s="232"/>
      <c r="M35" s="232"/>
      <c r="N35" s="232"/>
      <c r="O35" s="232"/>
    </row>
    <row r="36" spans="1:15">
      <c r="A36" s="88"/>
      <c r="B36" s="88"/>
      <c r="C36" s="88"/>
      <c r="D36" s="88"/>
      <c r="E36" s="88"/>
      <c r="F36" s="88"/>
      <c r="G36" s="88"/>
      <c r="H36" s="88"/>
      <c r="I36" s="231"/>
      <c r="J36" s="232"/>
      <c r="K36" s="232"/>
      <c r="L36" s="232"/>
      <c r="M36" s="232"/>
      <c r="N36" s="232"/>
      <c r="O36" s="232"/>
    </row>
    <row r="37" spans="1:15" ht="16.5" thickBot="1">
      <c r="A37" s="250" t="s">
        <v>213</v>
      </c>
      <c r="B37" s="125"/>
      <c r="C37" s="88"/>
      <c r="D37" s="45"/>
      <c r="E37" s="45"/>
      <c r="F37" s="45"/>
      <c r="G37" s="45"/>
      <c r="H37" s="45"/>
      <c r="I37" s="231"/>
      <c r="J37" s="232"/>
      <c r="K37" s="232"/>
      <c r="L37" s="232"/>
      <c r="M37" s="232"/>
      <c r="N37" s="232"/>
      <c r="O37" s="232"/>
    </row>
    <row r="38" spans="1:15">
      <c r="A38" s="164" t="s">
        <v>13</v>
      </c>
      <c r="B38" s="129" t="s">
        <v>4</v>
      </c>
      <c r="C38" s="130" t="s">
        <v>114</v>
      </c>
      <c r="D38" s="133" t="s">
        <v>39</v>
      </c>
      <c r="E38" s="131" t="s">
        <v>40</v>
      </c>
      <c r="F38" s="134" t="s">
        <v>114</v>
      </c>
      <c r="G38" s="134" t="s">
        <v>4</v>
      </c>
      <c r="H38" s="165" t="s">
        <v>4</v>
      </c>
      <c r="I38" s="231"/>
      <c r="J38" s="232"/>
      <c r="K38" s="232"/>
      <c r="L38" s="232"/>
      <c r="M38" s="232"/>
      <c r="N38" s="232"/>
      <c r="O38" s="232"/>
    </row>
    <row r="39" spans="1:15">
      <c r="A39" s="166" t="s">
        <v>18</v>
      </c>
      <c r="B39" s="137" t="s">
        <v>200</v>
      </c>
      <c r="C39" s="138" t="s">
        <v>115</v>
      </c>
      <c r="D39" s="137" t="s">
        <v>45</v>
      </c>
      <c r="E39" s="168" t="s">
        <v>206</v>
      </c>
      <c r="F39" s="139" t="s">
        <v>115</v>
      </c>
      <c r="G39" s="139" t="s">
        <v>44</v>
      </c>
      <c r="H39" s="141" t="s">
        <v>200</v>
      </c>
      <c r="I39" s="231"/>
      <c r="J39" s="232"/>
      <c r="K39" s="232"/>
      <c r="L39" s="232"/>
      <c r="M39" s="232"/>
      <c r="N39" s="232"/>
      <c r="O39" s="232"/>
    </row>
    <row r="40" spans="1:15">
      <c r="A40" s="166"/>
      <c r="B40" s="137" t="s">
        <v>43</v>
      </c>
      <c r="C40" s="138" t="s">
        <v>116</v>
      </c>
      <c r="D40" s="169" t="s">
        <v>208</v>
      </c>
      <c r="E40" s="138" t="s">
        <v>200</v>
      </c>
      <c r="F40" s="170" t="s">
        <v>116</v>
      </c>
      <c r="G40" s="139" t="s">
        <v>119</v>
      </c>
      <c r="H40" s="141" t="s">
        <v>130</v>
      </c>
      <c r="I40" s="231"/>
      <c r="J40" s="232"/>
      <c r="K40" s="232"/>
      <c r="L40" s="232"/>
      <c r="M40" s="232"/>
      <c r="N40" s="232"/>
      <c r="O40" s="232"/>
    </row>
    <row r="41" spans="1:15">
      <c r="A41" s="171"/>
      <c r="B41" s="143" t="s">
        <v>118</v>
      </c>
      <c r="C41" s="138" t="s">
        <v>43</v>
      </c>
      <c r="D41" s="143" t="s">
        <v>209</v>
      </c>
      <c r="E41" s="138" t="s">
        <v>124</v>
      </c>
      <c r="F41" s="138" t="s">
        <v>124</v>
      </c>
      <c r="G41" s="138" t="s">
        <v>210</v>
      </c>
      <c r="H41" s="144" t="s">
        <v>118</v>
      </c>
      <c r="I41" s="231"/>
      <c r="J41" s="232"/>
      <c r="K41" s="232"/>
      <c r="L41" s="232"/>
      <c r="M41" s="232"/>
      <c r="N41" s="232"/>
      <c r="O41" s="232"/>
    </row>
    <row r="42" spans="1:15" ht="13.5" thickBot="1">
      <c r="A42" s="145"/>
      <c r="B42" s="172" t="s">
        <v>12</v>
      </c>
      <c r="C42" s="173" t="s">
        <v>260</v>
      </c>
      <c r="D42" s="175" t="s">
        <v>47</v>
      </c>
      <c r="E42" s="176" t="s">
        <v>12</v>
      </c>
      <c r="F42" s="176" t="s">
        <v>11</v>
      </c>
      <c r="G42" s="173" t="s">
        <v>12</v>
      </c>
      <c r="H42" s="177" t="s">
        <v>12</v>
      </c>
      <c r="I42" s="231"/>
      <c r="J42" s="232"/>
      <c r="K42" s="232"/>
      <c r="L42" s="232"/>
      <c r="M42" s="232"/>
      <c r="N42" s="232"/>
      <c r="O42" s="232"/>
    </row>
    <row r="43" spans="1:15">
      <c r="A43" s="152"/>
      <c r="B43" s="178"/>
      <c r="C43" s="157"/>
      <c r="E43" s="179"/>
      <c r="F43" s="179"/>
      <c r="G43" s="179"/>
      <c r="H43" s="181"/>
      <c r="I43" s="231"/>
      <c r="J43" s="232"/>
      <c r="K43" s="232"/>
      <c r="L43" s="232"/>
      <c r="M43" s="232"/>
      <c r="N43" s="232"/>
      <c r="O43" s="232"/>
    </row>
    <row r="44" spans="1:15" ht="13.5" thickBot="1">
      <c r="A44" s="264">
        <f>A35</f>
        <v>2</v>
      </c>
      <c r="B44" s="420">
        <f>0</f>
        <v>0</v>
      </c>
      <c r="C44" s="284">
        <f>IF(B35=0,0,B44/B35)</f>
        <v>0</v>
      </c>
      <c r="D44" s="271">
        <f ca="1">CENA!G11</f>
        <v>31512.470238095266</v>
      </c>
      <c r="E44" s="269">
        <f>B44+D44</f>
        <v>31512.470238095266</v>
      </c>
      <c r="F44" s="285">
        <f>IF(E35=0,0,E44/E35)</f>
        <v>44.383760898725725</v>
      </c>
      <c r="G44" s="269">
        <f>(G35*F44)</f>
        <v>31512.470238095266</v>
      </c>
      <c r="H44" s="273">
        <f>E44-G44</f>
        <v>0</v>
      </c>
      <c r="I44" s="231"/>
      <c r="J44" s="232"/>
      <c r="K44" s="232"/>
      <c r="L44" s="232"/>
      <c r="M44" s="232"/>
      <c r="N44" s="232"/>
      <c r="O44" s="232"/>
    </row>
    <row r="45" spans="1:15">
      <c r="A45" s="232"/>
      <c r="B45" s="232"/>
      <c r="C45" s="232"/>
      <c r="D45" s="232"/>
      <c r="E45" s="232"/>
      <c r="F45" s="232"/>
      <c r="G45" s="232"/>
      <c r="H45" s="232"/>
      <c r="I45" s="231"/>
      <c r="J45" s="232"/>
      <c r="K45" s="232"/>
      <c r="L45" s="232"/>
      <c r="M45" s="232"/>
      <c r="N45" s="232"/>
      <c r="O45" s="232"/>
    </row>
    <row r="46" spans="1:15">
      <c r="A46" s="232"/>
      <c r="B46" s="232"/>
      <c r="C46" s="232"/>
      <c r="D46" s="252"/>
      <c r="E46" s="232"/>
      <c r="F46" s="253"/>
      <c r="G46" s="367"/>
      <c r="H46" s="232"/>
      <c r="I46" s="231"/>
      <c r="J46" s="232"/>
      <c r="K46" s="232"/>
      <c r="L46" s="232"/>
      <c r="M46" s="232"/>
      <c r="N46" s="232"/>
      <c r="O46" s="232"/>
    </row>
    <row r="47" spans="1:15">
      <c r="A47" s="232"/>
      <c r="B47" s="232"/>
      <c r="C47" s="232"/>
      <c r="D47" s="232"/>
      <c r="E47" s="232"/>
      <c r="F47" s="232"/>
      <c r="G47" s="232"/>
      <c r="H47" s="232"/>
      <c r="I47" s="231"/>
      <c r="J47" s="232"/>
      <c r="K47" s="232"/>
      <c r="L47" s="232"/>
      <c r="M47" s="232"/>
      <c r="N47" s="232"/>
      <c r="O47" s="232"/>
    </row>
    <row r="48" spans="1:15">
      <c r="A48" s="232"/>
      <c r="B48" s="232"/>
      <c r="C48" s="232"/>
      <c r="D48" s="232"/>
      <c r="E48" s="232"/>
      <c r="F48" s="232"/>
      <c r="G48" s="252"/>
      <c r="H48" s="232"/>
      <c r="I48" s="231"/>
      <c r="J48" s="232"/>
      <c r="K48" s="232"/>
      <c r="L48" s="232"/>
      <c r="M48" s="232"/>
      <c r="N48" s="232"/>
      <c r="O48" s="232"/>
    </row>
    <row r="49" spans="1:15">
      <c r="A49" s="232"/>
      <c r="B49" s="232"/>
      <c r="C49" s="232"/>
      <c r="D49" s="232"/>
      <c r="E49" s="232"/>
      <c r="F49" s="232"/>
      <c r="G49" s="232"/>
      <c r="H49" s="232"/>
      <c r="I49" s="231"/>
      <c r="J49" s="232"/>
      <c r="K49" s="232"/>
      <c r="L49" s="232"/>
      <c r="M49" s="232"/>
      <c r="N49" s="232"/>
      <c r="O49" s="232"/>
    </row>
    <row r="50" spans="1:15">
      <c r="A50" s="232"/>
      <c r="B50" s="232"/>
      <c r="C50" s="232"/>
      <c r="D50" s="232"/>
      <c r="E50" s="232"/>
      <c r="F50" s="232"/>
      <c r="G50" s="232"/>
      <c r="H50" s="232"/>
      <c r="I50" s="231"/>
      <c r="J50" s="232"/>
      <c r="K50" s="232"/>
      <c r="L50" s="232"/>
      <c r="M50" s="232"/>
      <c r="N50" s="232"/>
      <c r="O50" s="232"/>
    </row>
    <row r="51" spans="1:15">
      <c r="A51" s="232"/>
      <c r="B51" s="232"/>
      <c r="C51" s="232"/>
      <c r="D51" s="232"/>
      <c r="E51" s="232"/>
      <c r="F51" s="232"/>
      <c r="G51" s="232"/>
      <c r="H51" s="232"/>
      <c r="I51" s="231"/>
      <c r="J51" s="232"/>
      <c r="K51" s="232"/>
      <c r="L51" s="232"/>
      <c r="M51" s="232"/>
      <c r="N51" s="232"/>
      <c r="O51" s="232"/>
    </row>
    <row r="52" spans="1:15">
      <c r="A52" s="232"/>
      <c r="B52" s="232"/>
      <c r="C52" s="232"/>
      <c r="D52" s="232"/>
      <c r="E52" s="232"/>
      <c r="F52" s="232"/>
      <c r="G52" s="232"/>
      <c r="H52" s="232"/>
      <c r="I52" s="231"/>
      <c r="J52" s="232"/>
      <c r="K52" s="232"/>
      <c r="L52" s="232"/>
      <c r="M52" s="232"/>
      <c r="N52" s="232"/>
      <c r="O52" s="232"/>
    </row>
    <row r="53" spans="1:15">
      <c r="A53" s="232"/>
      <c r="B53" s="232"/>
      <c r="C53" s="232"/>
      <c r="D53" s="232"/>
      <c r="E53" s="232"/>
      <c r="F53" s="232"/>
      <c r="G53" s="232"/>
      <c r="H53" s="232"/>
      <c r="I53" s="231"/>
      <c r="J53" s="232"/>
      <c r="K53" s="232"/>
      <c r="L53" s="232"/>
      <c r="M53" s="232"/>
      <c r="N53" s="232"/>
      <c r="O53" s="232"/>
    </row>
    <row r="54" spans="1:15">
      <c r="A54" s="232"/>
      <c r="B54" s="232"/>
      <c r="C54" s="232"/>
      <c r="D54" s="232"/>
      <c r="E54" s="232"/>
      <c r="F54" s="232"/>
      <c r="G54" s="232"/>
      <c r="H54" s="232"/>
      <c r="I54" s="231"/>
      <c r="J54" s="232"/>
      <c r="K54" s="232"/>
      <c r="L54" s="232"/>
      <c r="M54" s="232"/>
      <c r="N54" s="232"/>
      <c r="O54" s="232"/>
    </row>
    <row r="55" spans="1:15">
      <c r="A55" s="232"/>
      <c r="B55" s="232"/>
      <c r="C55" s="232"/>
      <c r="D55" s="232"/>
      <c r="E55" s="232"/>
      <c r="F55" s="232"/>
      <c r="G55" s="232"/>
      <c r="H55" s="232"/>
      <c r="I55" s="231"/>
      <c r="J55" s="232"/>
      <c r="K55" s="232"/>
      <c r="L55" s="232"/>
      <c r="M55" s="232"/>
      <c r="N55" s="232"/>
      <c r="O55" s="232"/>
    </row>
    <row r="56" spans="1:15">
      <c r="A56" s="232"/>
      <c r="B56" s="232"/>
      <c r="C56" s="232"/>
      <c r="D56" s="232"/>
      <c r="E56" s="232"/>
      <c r="F56" s="232"/>
      <c r="G56" s="232"/>
      <c r="H56" s="232"/>
      <c r="I56" s="231"/>
      <c r="J56" s="232"/>
      <c r="K56" s="232"/>
      <c r="L56" s="232"/>
      <c r="M56" s="232"/>
      <c r="N56" s="232"/>
      <c r="O56" s="232"/>
    </row>
    <row r="57" spans="1:15">
      <c r="A57" s="232"/>
      <c r="B57" s="232"/>
      <c r="C57" s="232"/>
      <c r="D57" s="232"/>
      <c r="E57" s="232"/>
      <c r="F57" s="232"/>
      <c r="G57" s="232"/>
      <c r="H57" s="232"/>
      <c r="I57" s="231"/>
      <c r="J57" s="232"/>
      <c r="K57" s="232"/>
      <c r="L57" s="232"/>
      <c r="M57" s="232"/>
      <c r="N57" s="232"/>
      <c r="O57" s="232"/>
    </row>
    <row r="58" spans="1:15">
      <c r="A58" s="232"/>
      <c r="B58" s="232"/>
      <c r="C58" s="232"/>
      <c r="D58" s="232"/>
      <c r="E58" s="232"/>
      <c r="F58" s="232"/>
      <c r="G58" s="232"/>
      <c r="H58" s="232"/>
      <c r="I58" s="231"/>
      <c r="J58" s="232"/>
      <c r="K58" s="232"/>
      <c r="L58" s="232"/>
      <c r="M58" s="232"/>
      <c r="N58" s="232"/>
      <c r="O58" s="232"/>
    </row>
    <row r="59" spans="1:15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</row>
    <row r="60" spans="1:15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</row>
    <row r="61" spans="1:15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</row>
    <row r="62" spans="1:15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</row>
    <row r="63" spans="1:15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</row>
    <row r="64" spans="1:15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</row>
    <row r="65" spans="1:15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</row>
    <row r="66" spans="1:15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</row>
  </sheetData>
  <sheetProtection formatCells="0" formatColumns="0" formatRows="0"/>
  <phoneticPr fontId="9" type="noConversion"/>
  <conditionalFormatting sqref="B13">
    <cfRule type="expression" dxfId="5" priority="1" stopIfTrue="1">
      <formula>OR(AND($B$13&gt;0,$B$23=0),AND($B$13=0,$B$23&gt;0))</formula>
    </cfRule>
  </conditionalFormatting>
  <conditionalFormatting sqref="B23">
    <cfRule type="expression" dxfId="4" priority="2" stopIfTrue="1">
      <formula>OR(AND($B$23&gt;0,$B$13=0),AND($B$23=0,$B$13&gt;0))</formula>
    </cfRule>
  </conditionalFormatting>
  <conditionalFormatting sqref="H13 H23">
    <cfRule type="cellIs" dxfId="3" priority="3" stopIfTrue="1" operator="lessThan">
      <formula>0</formula>
    </cfRule>
  </conditionalFormatting>
  <pageMargins left="0.78740157480314965" right="0" top="0.39370078740157483" bottom="0" header="0" footer="0"/>
  <pageSetup paperSize="9" orientation="portrait" horizontalDpi="4294967294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zoomScale="110" workbookViewId="0">
      <selection activeCell="B23" activeCellId="2" sqref="G34 B13 B23"/>
    </sheetView>
  </sheetViews>
  <sheetFormatPr defaultRowHeight="12.75"/>
  <cols>
    <col min="1" max="1" width="3" customWidth="1"/>
    <col min="2" max="2" width="10.28515625" customWidth="1"/>
    <col min="3" max="3" width="11" customWidth="1"/>
    <col min="4" max="4" width="12.85546875" customWidth="1"/>
    <col min="5" max="5" width="13.7109375" customWidth="1"/>
    <col min="6" max="6" width="11.28515625" customWidth="1"/>
    <col min="7" max="7" width="14.28515625" customWidth="1"/>
    <col min="8" max="8" width="12.5703125" customWidth="1"/>
    <col min="10" max="10" width="29" customWidth="1"/>
  </cols>
  <sheetData>
    <row r="1" spans="1:17" ht="15.75">
      <c r="A1" s="88"/>
      <c r="B1" s="92" t="s">
        <v>97</v>
      </c>
      <c r="C1" s="262">
        <f ca="1">CENA!C1</f>
        <v>2</v>
      </c>
      <c r="D1" s="92" t="s">
        <v>255</v>
      </c>
      <c r="F1" s="262">
        <f ca="1">CENA!E1</f>
        <v>0</v>
      </c>
      <c r="G1" s="286"/>
      <c r="H1" s="92" t="s">
        <v>95</v>
      </c>
      <c r="I1" s="262">
        <f ca="1">CENA!C3</f>
        <v>1</v>
      </c>
      <c r="J1" s="232"/>
      <c r="K1" s="232"/>
      <c r="L1" s="232"/>
      <c r="M1" s="232"/>
      <c r="N1" s="232"/>
      <c r="O1" s="232"/>
      <c r="P1" s="232"/>
      <c r="Q1" s="232"/>
    </row>
    <row r="2" spans="1:17">
      <c r="A2" s="231"/>
      <c r="B2" s="231"/>
      <c r="C2" s="231"/>
      <c r="D2" s="231"/>
      <c r="E2" s="231"/>
      <c r="F2" s="231"/>
      <c r="G2" s="231"/>
      <c r="H2" s="231"/>
      <c r="I2" s="232"/>
      <c r="J2" s="232"/>
      <c r="K2" s="232"/>
      <c r="L2" s="232"/>
      <c r="M2" s="232"/>
      <c r="N2" s="232"/>
      <c r="O2" s="232"/>
      <c r="P2" s="232"/>
      <c r="Q2" s="232"/>
    </row>
    <row r="3" spans="1:17" ht="15.75">
      <c r="A3" s="119" t="s">
        <v>214</v>
      </c>
      <c r="I3" s="232"/>
      <c r="J3" s="232"/>
      <c r="K3" s="232"/>
      <c r="L3" s="232"/>
      <c r="M3" s="232"/>
      <c r="N3" s="232"/>
      <c r="O3" s="232"/>
      <c r="P3" s="232"/>
      <c r="Q3" s="232"/>
    </row>
    <row r="4" spans="1:17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17" ht="15.75">
      <c r="A5" s="233" t="s">
        <v>215</v>
      </c>
      <c r="B5" s="234"/>
      <c r="C5" s="234"/>
      <c r="D5" s="234"/>
      <c r="E5" s="234"/>
      <c r="F5" s="235"/>
      <c r="G5" s="236"/>
      <c r="H5" s="88"/>
      <c r="I5" s="232"/>
      <c r="J5" s="232"/>
      <c r="K5" s="232"/>
      <c r="L5" s="232"/>
      <c r="M5" s="232"/>
      <c r="N5" s="232"/>
      <c r="O5" s="232"/>
      <c r="P5" s="232"/>
      <c r="Q5" s="232"/>
    </row>
    <row r="6" spans="1:17">
      <c r="A6" s="231"/>
      <c r="B6" s="231"/>
      <c r="C6" s="231"/>
      <c r="D6" s="231"/>
      <c r="E6" s="231"/>
      <c r="F6" s="231"/>
      <c r="G6" s="231"/>
      <c r="H6" s="237"/>
      <c r="I6" s="232"/>
      <c r="J6" s="232"/>
      <c r="K6" s="232"/>
      <c r="L6" s="232"/>
      <c r="M6" s="232"/>
      <c r="N6" s="232"/>
      <c r="O6" s="232"/>
      <c r="P6" s="232"/>
      <c r="Q6" s="232"/>
    </row>
    <row r="7" spans="1:17" ht="16.5" thickBot="1">
      <c r="A7" s="254" t="s">
        <v>216</v>
      </c>
      <c r="B7" s="240"/>
      <c r="C7" s="240"/>
      <c r="D7" s="240"/>
      <c r="E7" s="240"/>
      <c r="F7" s="241"/>
      <c r="G7" s="241"/>
      <c r="H7" s="88"/>
      <c r="I7" s="232"/>
      <c r="J7" s="232"/>
      <c r="K7" s="232"/>
      <c r="L7" s="232"/>
      <c r="M7" s="232"/>
      <c r="N7" s="232"/>
      <c r="O7" s="232"/>
      <c r="P7" s="232"/>
      <c r="Q7" s="232"/>
    </row>
    <row r="8" spans="1:17">
      <c r="A8" s="128" t="s">
        <v>13</v>
      </c>
      <c r="B8" s="129" t="s">
        <v>253</v>
      </c>
      <c r="C8" s="130" t="s">
        <v>112</v>
      </c>
      <c r="D8" s="133" t="s">
        <v>14</v>
      </c>
      <c r="E8" s="131" t="s">
        <v>254</v>
      </c>
      <c r="F8" s="134" t="s">
        <v>112</v>
      </c>
      <c r="G8" s="134" t="s">
        <v>253</v>
      </c>
      <c r="H8" s="165" t="s">
        <v>253</v>
      </c>
      <c r="I8" s="232"/>
      <c r="J8" s="232"/>
      <c r="K8" s="232"/>
      <c r="L8" s="232"/>
      <c r="M8" s="232"/>
      <c r="N8" s="232"/>
      <c r="O8" s="232"/>
      <c r="P8" s="232"/>
      <c r="Q8" s="232"/>
    </row>
    <row r="9" spans="1:17">
      <c r="A9" s="136" t="s">
        <v>18</v>
      </c>
      <c r="B9" s="137" t="s">
        <v>217</v>
      </c>
      <c r="C9" s="138" t="s">
        <v>113</v>
      </c>
      <c r="D9" s="137" t="s">
        <v>64</v>
      </c>
      <c r="E9" s="139" t="s">
        <v>64</v>
      </c>
      <c r="F9" s="139" t="s">
        <v>113</v>
      </c>
      <c r="G9" s="139" t="s">
        <v>218</v>
      </c>
      <c r="H9" s="141" t="s">
        <v>217</v>
      </c>
      <c r="I9" s="232"/>
      <c r="J9" s="232"/>
      <c r="K9" s="232"/>
      <c r="L9" s="232"/>
      <c r="M9" s="232"/>
      <c r="N9" s="232"/>
      <c r="O9" s="232"/>
      <c r="P9" s="232"/>
      <c r="Q9" s="232"/>
    </row>
    <row r="10" spans="1:17">
      <c r="A10" s="142"/>
      <c r="B10" s="143" t="s">
        <v>111</v>
      </c>
      <c r="C10" s="138"/>
      <c r="D10" s="143" t="s">
        <v>202</v>
      </c>
      <c r="E10" s="138" t="s">
        <v>124</v>
      </c>
      <c r="F10" s="138"/>
      <c r="G10" s="138" t="s">
        <v>219</v>
      </c>
      <c r="H10" s="144" t="s">
        <v>129</v>
      </c>
      <c r="I10" s="232"/>
      <c r="J10" s="232"/>
      <c r="K10" s="232"/>
      <c r="L10" s="232"/>
      <c r="M10" s="232"/>
      <c r="N10" s="232"/>
      <c r="O10" s="232"/>
      <c r="P10" s="232"/>
      <c r="Q10" s="232"/>
    </row>
    <row r="11" spans="1:17" ht="13.5" thickBot="1">
      <c r="A11" s="145"/>
      <c r="B11" s="146" t="s">
        <v>204</v>
      </c>
      <c r="C11" s="147"/>
      <c r="D11" s="149" t="s">
        <v>204</v>
      </c>
      <c r="E11" s="147" t="s">
        <v>204</v>
      </c>
      <c r="F11" s="187"/>
      <c r="G11" s="147" t="s">
        <v>65</v>
      </c>
      <c r="H11" s="177" t="s">
        <v>204</v>
      </c>
      <c r="I11" s="232"/>
      <c r="J11" s="232"/>
      <c r="K11" s="232"/>
      <c r="L11" s="232"/>
      <c r="M11" s="232"/>
      <c r="N11" s="232"/>
      <c r="O11" s="232"/>
      <c r="P11" s="232"/>
      <c r="Q11" s="232"/>
    </row>
    <row r="12" spans="1:17">
      <c r="A12" s="152"/>
      <c r="B12" s="153"/>
      <c r="C12" s="154"/>
      <c r="E12" s="155"/>
      <c r="F12" s="154"/>
      <c r="G12" s="155"/>
      <c r="H12" s="158"/>
      <c r="I12" s="232"/>
      <c r="J12" s="232"/>
      <c r="K12" s="232"/>
      <c r="L12" s="232"/>
      <c r="M12" s="232"/>
      <c r="N12" s="232"/>
      <c r="O12" s="232"/>
      <c r="P12" s="232"/>
      <c r="Q12" s="232"/>
    </row>
    <row r="13" spans="1:17" ht="13.5" thickBot="1">
      <c r="A13" s="264">
        <f>C1</f>
        <v>2</v>
      </c>
      <c r="B13" s="426">
        <v>980</v>
      </c>
      <c r="C13" s="159"/>
      <c r="D13" s="283">
        <f ca="1">CENA!E24</f>
        <v>6651</v>
      </c>
      <c r="E13" s="266">
        <f ca="1">B13+D13</f>
        <v>7631</v>
      </c>
      <c r="F13" s="159"/>
      <c r="G13" s="266">
        <f ca="1">CENA!E27</f>
        <v>7531</v>
      </c>
      <c r="H13" s="270">
        <f>E13-G13</f>
        <v>100</v>
      </c>
      <c r="I13" s="232"/>
      <c r="J13" s="232"/>
      <c r="K13" s="232"/>
      <c r="L13" s="232"/>
      <c r="M13" s="232"/>
      <c r="N13" s="232"/>
      <c r="O13" s="232"/>
      <c r="P13" s="232"/>
      <c r="Q13" s="232"/>
    </row>
    <row r="14" spans="1:17">
      <c r="A14" s="231"/>
      <c r="B14" s="231"/>
      <c r="C14" s="231"/>
      <c r="D14" s="231"/>
      <c r="E14" s="231"/>
      <c r="F14" s="231"/>
      <c r="G14" s="231"/>
      <c r="H14" s="231"/>
      <c r="I14" s="232"/>
      <c r="J14" s="232"/>
      <c r="K14" s="232"/>
      <c r="L14" s="232"/>
      <c r="M14" s="232"/>
      <c r="N14" s="232"/>
      <c r="O14" s="232"/>
      <c r="P14" s="232"/>
      <c r="Q14" s="232"/>
    </row>
    <row r="15" spans="1:17">
      <c r="A15" s="232"/>
      <c r="B15" s="231"/>
      <c r="C15" s="231"/>
      <c r="D15" s="231"/>
      <c r="E15" s="237"/>
      <c r="F15" s="231"/>
      <c r="G15" s="231"/>
      <c r="H15" s="231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7" ht="16.5" thickBot="1">
      <c r="A16" s="254" t="s">
        <v>220</v>
      </c>
      <c r="B16" s="244"/>
      <c r="C16" s="245"/>
      <c r="D16" s="246"/>
      <c r="E16" s="246"/>
      <c r="F16" s="246"/>
      <c r="G16" s="246"/>
      <c r="H16" s="246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>
      <c r="A17" s="164" t="s">
        <v>13</v>
      </c>
      <c r="B17" s="129" t="s">
        <v>4</v>
      </c>
      <c r="C17" s="130" t="s">
        <v>114</v>
      </c>
      <c r="D17" s="133" t="s">
        <v>39</v>
      </c>
      <c r="E17" s="131" t="s">
        <v>40</v>
      </c>
      <c r="F17" s="134" t="s">
        <v>114</v>
      </c>
      <c r="G17" s="134" t="s">
        <v>4</v>
      </c>
      <c r="H17" s="165" t="s">
        <v>4</v>
      </c>
      <c r="I17" s="232"/>
      <c r="J17" s="232"/>
      <c r="K17" s="232"/>
      <c r="L17" s="232"/>
      <c r="M17" s="232"/>
      <c r="N17" s="232"/>
      <c r="O17" s="232"/>
      <c r="P17" s="232"/>
      <c r="Q17" s="232"/>
    </row>
    <row r="18" spans="1:17">
      <c r="A18" s="166" t="s">
        <v>18</v>
      </c>
      <c r="B18" s="137" t="s">
        <v>64</v>
      </c>
      <c r="C18" s="138" t="s">
        <v>115</v>
      </c>
      <c r="D18" s="137" t="s">
        <v>45</v>
      </c>
      <c r="E18" s="168" t="s">
        <v>206</v>
      </c>
      <c r="F18" s="139" t="s">
        <v>115</v>
      </c>
      <c r="G18" s="139" t="s">
        <v>221</v>
      </c>
      <c r="H18" s="141" t="s">
        <v>64</v>
      </c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>
      <c r="A19" s="166"/>
      <c r="B19" s="137" t="s">
        <v>43</v>
      </c>
      <c r="C19" s="138" t="s">
        <v>116</v>
      </c>
      <c r="D19" s="169" t="s">
        <v>208</v>
      </c>
      <c r="E19" s="138" t="s">
        <v>64</v>
      </c>
      <c r="F19" s="170" t="s">
        <v>116</v>
      </c>
      <c r="G19" s="139" t="s">
        <v>119</v>
      </c>
      <c r="H19" s="141" t="s">
        <v>130</v>
      </c>
      <c r="I19" s="232"/>
      <c r="J19" s="232"/>
      <c r="K19" s="232"/>
      <c r="L19" s="232"/>
      <c r="M19" s="232"/>
      <c r="N19" s="232"/>
      <c r="O19" s="232"/>
      <c r="P19" s="232"/>
      <c r="Q19" s="232"/>
    </row>
    <row r="20" spans="1:17">
      <c r="A20" s="171"/>
      <c r="B20" s="143" t="s">
        <v>118</v>
      </c>
      <c r="C20" s="138" t="s">
        <v>43</v>
      </c>
      <c r="D20" s="143" t="s">
        <v>209</v>
      </c>
      <c r="E20" s="138" t="s">
        <v>124</v>
      </c>
      <c r="F20" s="138" t="s">
        <v>124</v>
      </c>
      <c r="G20" s="138" t="s">
        <v>210</v>
      </c>
      <c r="H20" s="144" t="s">
        <v>118</v>
      </c>
      <c r="I20" s="232"/>
      <c r="J20" s="232"/>
      <c r="K20" s="232"/>
      <c r="L20" s="232"/>
      <c r="M20" s="232"/>
      <c r="N20" s="232"/>
      <c r="O20" s="232"/>
      <c r="P20" s="232"/>
      <c r="Q20" s="232"/>
    </row>
    <row r="21" spans="1:17" ht="13.5" thickBot="1">
      <c r="A21" s="145"/>
      <c r="B21" s="172" t="s">
        <v>12</v>
      </c>
      <c r="C21" s="173" t="s">
        <v>260</v>
      </c>
      <c r="D21" s="175" t="s">
        <v>47</v>
      </c>
      <c r="E21" s="176" t="s">
        <v>12</v>
      </c>
      <c r="F21" s="176" t="s">
        <v>11</v>
      </c>
      <c r="G21" s="173" t="s">
        <v>12</v>
      </c>
      <c r="H21" s="177" t="s">
        <v>12</v>
      </c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7">
      <c r="A22" s="152"/>
      <c r="B22" s="178"/>
      <c r="C22" s="157"/>
      <c r="E22" s="179"/>
      <c r="F22" s="179"/>
      <c r="G22" s="179"/>
      <c r="H22" s="181"/>
      <c r="I22" s="232"/>
      <c r="J22" s="232"/>
      <c r="K22" s="232"/>
      <c r="L22" s="232"/>
      <c r="M22" s="232"/>
      <c r="N22" s="232"/>
      <c r="O22" s="232"/>
      <c r="P22" s="232"/>
      <c r="Q22" s="232"/>
    </row>
    <row r="23" spans="1:17" ht="13.5" thickBot="1">
      <c r="A23" s="264">
        <f>A13</f>
        <v>2</v>
      </c>
      <c r="B23" s="427">
        <v>505444</v>
      </c>
      <c r="C23" s="284">
        <f>IF(B13=0,0,B23/B13)</f>
        <v>515.75918367346935</v>
      </c>
      <c r="D23" s="271">
        <f ca="1">CENA!G24</f>
        <v>3759325.9671868375</v>
      </c>
      <c r="E23" s="271">
        <f>B23+D23</f>
        <v>4264769.9671868375</v>
      </c>
      <c r="F23" s="287">
        <f>IF(E13=0,0,E23/E13)</f>
        <v>558.8743240973447</v>
      </c>
      <c r="G23" s="269">
        <f>F23*G13</f>
        <v>4208882.534777103</v>
      </c>
      <c r="H23" s="273">
        <f>E23-G23</f>
        <v>55887.432409734465</v>
      </c>
      <c r="I23" s="232"/>
      <c r="J23" s="232"/>
      <c r="K23" s="232"/>
      <c r="L23" s="232"/>
      <c r="M23" s="232"/>
      <c r="N23" s="232"/>
      <c r="O23" s="232"/>
      <c r="P23" s="232"/>
      <c r="Q23" s="232"/>
    </row>
    <row r="24" spans="1:17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7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7" ht="15.75">
      <c r="A26" s="249" t="s">
        <v>257</v>
      </c>
      <c r="B26" s="120"/>
      <c r="C26" s="120"/>
      <c r="D26" s="120"/>
      <c r="E26" s="120"/>
      <c r="F26" s="121"/>
      <c r="G26" s="88"/>
      <c r="H26" s="88"/>
      <c r="I26" s="232"/>
      <c r="J26" s="232"/>
      <c r="K26" s="232"/>
      <c r="L26" s="232"/>
      <c r="M26" s="232"/>
      <c r="N26" s="232"/>
      <c r="O26" s="232"/>
      <c r="P26" s="232"/>
      <c r="Q26" s="232"/>
    </row>
    <row r="27" spans="1:17">
      <c r="A27" s="231"/>
      <c r="B27" s="231"/>
      <c r="C27" s="231"/>
      <c r="D27" s="231"/>
      <c r="E27" s="231"/>
      <c r="F27" s="231"/>
      <c r="G27" s="231"/>
      <c r="H27" s="237"/>
      <c r="I27" s="232"/>
      <c r="J27" s="232"/>
      <c r="K27" s="232"/>
      <c r="L27" s="232"/>
      <c r="M27" s="232"/>
      <c r="N27" s="232"/>
      <c r="O27" s="232"/>
      <c r="P27" s="232"/>
      <c r="Q27" s="232"/>
    </row>
    <row r="28" spans="1:17" ht="16.5" thickBot="1">
      <c r="A28" s="250" t="s">
        <v>222</v>
      </c>
      <c r="F28" s="94"/>
      <c r="G28" s="94"/>
      <c r="H28" s="88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7">
      <c r="A29" s="128" t="s">
        <v>13</v>
      </c>
      <c r="B29" s="129" t="s">
        <v>253</v>
      </c>
      <c r="C29" s="130" t="s">
        <v>112</v>
      </c>
      <c r="D29" s="133" t="s">
        <v>14</v>
      </c>
      <c r="E29" s="131" t="s">
        <v>254</v>
      </c>
      <c r="F29" s="134" t="s">
        <v>112</v>
      </c>
      <c r="G29" s="134" t="s">
        <v>253</v>
      </c>
      <c r="H29" s="165" t="s">
        <v>253</v>
      </c>
      <c r="I29" s="232"/>
      <c r="J29" s="232"/>
      <c r="K29" s="232"/>
      <c r="L29" s="232"/>
      <c r="M29" s="232"/>
      <c r="N29" s="232"/>
      <c r="O29" s="232"/>
      <c r="P29" s="232"/>
      <c r="Q29" s="232"/>
    </row>
    <row r="30" spans="1:17">
      <c r="A30" s="136" t="s">
        <v>18</v>
      </c>
      <c r="B30" s="137" t="s">
        <v>217</v>
      </c>
      <c r="C30" s="138" t="s">
        <v>113</v>
      </c>
      <c r="D30" s="137" t="s">
        <v>64</v>
      </c>
      <c r="E30" s="139" t="s">
        <v>64</v>
      </c>
      <c r="F30" s="139" t="s">
        <v>113</v>
      </c>
      <c r="G30" s="139" t="s">
        <v>212</v>
      </c>
      <c r="H30" s="141" t="s">
        <v>217</v>
      </c>
      <c r="I30" s="232"/>
      <c r="J30" s="232"/>
      <c r="K30" s="232"/>
      <c r="L30" s="232"/>
      <c r="M30" s="232"/>
      <c r="N30" s="232"/>
      <c r="O30" s="232"/>
      <c r="P30" s="232"/>
      <c r="Q30" s="232"/>
    </row>
    <row r="31" spans="1:17">
      <c r="A31" s="142"/>
      <c r="B31" s="143" t="s">
        <v>111</v>
      </c>
      <c r="C31" s="138"/>
      <c r="D31" s="143" t="s">
        <v>202</v>
      </c>
      <c r="E31" s="138" t="s">
        <v>124</v>
      </c>
      <c r="F31" s="138"/>
      <c r="G31" s="138" t="s">
        <v>64</v>
      </c>
      <c r="H31" s="144" t="s">
        <v>129</v>
      </c>
      <c r="I31" s="232"/>
      <c r="J31" s="232"/>
      <c r="K31" s="232"/>
      <c r="L31" s="232"/>
      <c r="M31" s="232"/>
      <c r="N31" s="232"/>
      <c r="O31" s="232"/>
      <c r="P31" s="232"/>
      <c r="Q31" s="232"/>
    </row>
    <row r="32" spans="1:17" ht="13.5" thickBot="1">
      <c r="A32" s="145"/>
      <c r="B32" s="146" t="s">
        <v>204</v>
      </c>
      <c r="C32" s="147"/>
      <c r="D32" s="149" t="s">
        <v>204</v>
      </c>
      <c r="E32" s="147" t="s">
        <v>204</v>
      </c>
      <c r="F32" s="187"/>
      <c r="G32" s="147" t="s">
        <v>65</v>
      </c>
      <c r="H32" s="177" t="s">
        <v>204</v>
      </c>
      <c r="I32" s="232"/>
      <c r="J32" s="232"/>
      <c r="K32" s="232"/>
      <c r="L32" s="232"/>
      <c r="M32" s="232"/>
      <c r="N32" s="232"/>
      <c r="O32" s="232"/>
      <c r="P32" s="232"/>
      <c r="Q32" s="232"/>
    </row>
    <row r="33" spans="1:17">
      <c r="A33" s="152"/>
      <c r="B33" s="153"/>
      <c r="C33" s="154"/>
      <c r="E33" s="155"/>
      <c r="F33" s="154"/>
      <c r="G33" s="155"/>
      <c r="H33" s="158"/>
      <c r="I33" s="232"/>
      <c r="J33" s="232"/>
      <c r="K33" s="232"/>
      <c r="L33" s="232"/>
      <c r="M33" s="232"/>
      <c r="N33" s="232"/>
      <c r="O33" s="232"/>
      <c r="P33" s="232"/>
      <c r="Q33" s="232"/>
    </row>
    <row r="34" spans="1:17" ht="13.5" thickBot="1">
      <c r="A34" s="264">
        <f>A23</f>
        <v>2</v>
      </c>
      <c r="B34" s="81">
        <v>0</v>
      </c>
      <c r="C34" s="159"/>
      <c r="D34" s="283">
        <f ca="1">CENA!E25</f>
        <v>739</v>
      </c>
      <c r="E34" s="266">
        <f>B34+D34</f>
        <v>739</v>
      </c>
      <c r="F34" s="159"/>
      <c r="G34" s="425">
        <f>E34</f>
        <v>739</v>
      </c>
      <c r="H34" s="270">
        <f>E34-G34</f>
        <v>0</v>
      </c>
      <c r="I34" s="232"/>
      <c r="J34" s="232"/>
      <c r="K34" s="232"/>
      <c r="L34" s="232"/>
      <c r="M34" s="232"/>
      <c r="N34" s="232"/>
      <c r="O34" s="232"/>
      <c r="P34" s="232"/>
      <c r="Q34" s="232"/>
    </row>
    <row r="35" spans="1:17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</row>
    <row r="36" spans="1:17" ht="16.5" thickBot="1">
      <c r="A36" s="250" t="s">
        <v>223</v>
      </c>
      <c r="B36" s="125"/>
      <c r="C36" s="88"/>
      <c r="D36" s="45"/>
      <c r="E36" s="45"/>
      <c r="F36" s="45"/>
      <c r="G36" s="45"/>
      <c r="H36" s="45"/>
      <c r="I36" s="232"/>
      <c r="J36" s="232"/>
      <c r="K36" s="232"/>
      <c r="L36" s="232"/>
      <c r="M36" s="232"/>
      <c r="N36" s="232"/>
      <c r="O36" s="232"/>
      <c r="P36" s="232"/>
      <c r="Q36" s="232"/>
    </row>
    <row r="37" spans="1:17">
      <c r="A37" s="164" t="s">
        <v>13</v>
      </c>
      <c r="B37" s="129" t="s">
        <v>4</v>
      </c>
      <c r="C37" s="130" t="s">
        <v>114</v>
      </c>
      <c r="D37" s="133" t="s">
        <v>39</v>
      </c>
      <c r="E37" s="131" t="s">
        <v>40</v>
      </c>
      <c r="F37" s="134" t="s">
        <v>114</v>
      </c>
      <c r="G37" s="134" t="s">
        <v>4</v>
      </c>
      <c r="H37" s="165" t="s">
        <v>4</v>
      </c>
      <c r="I37" s="232"/>
      <c r="J37" s="232" t="s">
        <v>453</v>
      </c>
      <c r="K37" s="406">
        <f>E34</f>
        <v>739</v>
      </c>
      <c r="L37" s="232"/>
      <c r="M37" s="232"/>
      <c r="N37" s="232"/>
      <c r="O37" s="232"/>
      <c r="P37" s="232"/>
      <c r="Q37" s="232"/>
    </row>
    <row r="38" spans="1:17">
      <c r="A38" s="166" t="s">
        <v>18</v>
      </c>
      <c r="B38" s="137" t="s">
        <v>64</v>
      </c>
      <c r="C38" s="138" t="s">
        <v>115</v>
      </c>
      <c r="D38" s="137" t="s">
        <v>45</v>
      </c>
      <c r="E38" s="168" t="s">
        <v>206</v>
      </c>
      <c r="F38" s="139" t="s">
        <v>115</v>
      </c>
      <c r="G38" s="139" t="s">
        <v>44</v>
      </c>
      <c r="H38" s="141" t="s">
        <v>64</v>
      </c>
      <c r="I38" s="232"/>
      <c r="J38" s="232" t="s">
        <v>454</v>
      </c>
      <c r="K38" s="232">
        <f>K37*K41</f>
        <v>369.5</v>
      </c>
      <c r="L38" s="232"/>
      <c r="M38" s="232"/>
      <c r="N38" s="232"/>
      <c r="O38" s="232"/>
      <c r="P38" s="232"/>
      <c r="Q38" s="232"/>
    </row>
    <row r="39" spans="1:17">
      <c r="A39" s="166"/>
      <c r="B39" s="137" t="s">
        <v>43</v>
      </c>
      <c r="C39" s="138" t="s">
        <v>116</v>
      </c>
      <c r="D39" s="169" t="s">
        <v>208</v>
      </c>
      <c r="E39" s="138" t="s">
        <v>64</v>
      </c>
      <c r="F39" s="170" t="s">
        <v>116</v>
      </c>
      <c r="G39" s="139" t="s">
        <v>119</v>
      </c>
      <c r="H39" s="141" t="s">
        <v>130</v>
      </c>
      <c r="I39" s="232"/>
      <c r="J39" s="232" t="s">
        <v>455</v>
      </c>
      <c r="K39" s="406">
        <f ca="1">MATERIAŁY!H12</f>
        <v>48</v>
      </c>
      <c r="L39" s="232"/>
      <c r="M39" s="232"/>
      <c r="N39" s="232"/>
      <c r="O39" s="232"/>
      <c r="P39" s="232"/>
      <c r="Q39" s="232"/>
    </row>
    <row r="40" spans="1:17">
      <c r="A40" s="171"/>
      <c r="B40" s="143" t="s">
        <v>118</v>
      </c>
      <c r="C40" s="138" t="s">
        <v>43</v>
      </c>
      <c r="D40" s="143" t="s">
        <v>209</v>
      </c>
      <c r="E40" s="138" t="s">
        <v>124</v>
      </c>
      <c r="F40" s="138" t="s">
        <v>124</v>
      </c>
      <c r="G40" s="138" t="s">
        <v>210</v>
      </c>
      <c r="H40" s="144" t="s">
        <v>118</v>
      </c>
      <c r="I40" s="232"/>
      <c r="J40" s="232" t="s">
        <v>456</v>
      </c>
      <c r="K40" s="232">
        <f>K39*K38</f>
        <v>17736</v>
      </c>
      <c r="L40" s="232"/>
      <c r="M40" s="232"/>
      <c r="N40" s="232"/>
      <c r="O40" s="232"/>
      <c r="P40" s="232"/>
      <c r="Q40" s="232"/>
    </row>
    <row r="41" spans="1:17" ht="13.5" thickBot="1">
      <c r="A41" s="145"/>
      <c r="B41" s="172" t="s">
        <v>12</v>
      </c>
      <c r="C41" s="173" t="s">
        <v>260</v>
      </c>
      <c r="D41" s="175" t="s">
        <v>47</v>
      </c>
      <c r="E41" s="176" t="s">
        <v>12</v>
      </c>
      <c r="F41" s="176" t="s">
        <v>11</v>
      </c>
      <c r="G41" s="173" t="s">
        <v>12</v>
      </c>
      <c r="H41" s="177" t="s">
        <v>12</v>
      </c>
      <c r="I41" s="232"/>
      <c r="J41" s="232" t="s">
        <v>457</v>
      </c>
      <c r="K41" s="232">
        <v>0.5</v>
      </c>
      <c r="L41" s="232"/>
      <c r="M41" s="232"/>
      <c r="N41" s="232"/>
      <c r="O41" s="232"/>
      <c r="P41" s="232"/>
      <c r="Q41" s="232"/>
    </row>
    <row r="42" spans="1:17">
      <c r="A42" s="152"/>
      <c r="B42" s="178"/>
      <c r="C42" s="157"/>
      <c r="E42" s="179"/>
      <c r="F42" s="179"/>
      <c r="G42" s="179"/>
      <c r="H42" s="181"/>
      <c r="I42" s="232"/>
      <c r="J42" s="232"/>
      <c r="K42" s="232">
        <f>K40*0.5</f>
        <v>8868</v>
      </c>
      <c r="L42" s="232"/>
      <c r="M42" s="232"/>
      <c r="N42" s="232"/>
      <c r="O42" s="232"/>
      <c r="P42" s="232"/>
      <c r="Q42" s="232"/>
    </row>
    <row r="43" spans="1:17" ht="13.5" thickBot="1">
      <c r="A43" s="264">
        <f>A34</f>
        <v>2</v>
      </c>
      <c r="B43" s="183">
        <v>0</v>
      </c>
      <c r="C43" s="284">
        <f>IF(B34=0,0,B43/B34)</f>
        <v>0</v>
      </c>
      <c r="D43" s="271">
        <f ca="1">CENA!G25</f>
        <v>417702.88524298184</v>
      </c>
      <c r="E43" s="271">
        <f>B43+D43</f>
        <v>417702.88524298184</v>
      </c>
      <c r="F43" s="285">
        <f>IF(E34=0,0,E43/E34)</f>
        <v>565.22717894855464</v>
      </c>
      <c r="G43" s="269">
        <f>F43*E34</f>
        <v>417702.88524298189</v>
      </c>
      <c r="H43" s="407">
        <f>E43-G43</f>
        <v>0</v>
      </c>
      <c r="I43" s="232"/>
      <c r="J43" s="232"/>
      <c r="K43" s="404"/>
      <c r="L43" s="232"/>
      <c r="M43" s="232"/>
      <c r="N43" s="232"/>
      <c r="O43" s="232"/>
      <c r="P43" s="232"/>
      <c r="Q43" s="232"/>
    </row>
    <row r="44" spans="1:17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</row>
    <row r="45" spans="1:17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</row>
    <row r="46" spans="1:17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</row>
    <row r="47" spans="1:17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</row>
    <row r="48" spans="1:17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</row>
    <row r="49" spans="1:17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</row>
    <row r="50" spans="1:17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</row>
    <row r="51" spans="1:17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</row>
    <row r="52" spans="1:17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</row>
    <row r="53" spans="1:17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</row>
    <row r="54" spans="1:17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</row>
    <row r="55" spans="1:17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</row>
    <row r="56" spans="1:17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</row>
    <row r="57" spans="1:17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</row>
    <row r="58" spans="1:17">
      <c r="A58" s="232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</row>
    <row r="59" spans="1:17">
      <c r="A59" s="232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</row>
    <row r="60" spans="1:17">
      <c r="A60" s="232"/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</row>
    <row r="61" spans="1:17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</row>
    <row r="62" spans="1:17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</row>
    <row r="63" spans="1:17">
      <c r="A63" s="232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</row>
    <row r="64" spans="1:17">
      <c r="A64" s="232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</row>
    <row r="65" spans="1:17">
      <c r="A65" s="232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</row>
    <row r="66" spans="1:17">
      <c r="A66" s="232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</row>
    <row r="67" spans="1:17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</row>
    <row r="68" spans="1:17">
      <c r="A68" s="232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</row>
    <row r="69" spans="1:17">
      <c r="A69" s="232"/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</row>
    <row r="70" spans="1:17">
      <c r="A70" s="232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</row>
    <row r="71" spans="1:17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</row>
    <row r="72" spans="1:17">
      <c r="A72" s="232"/>
      <c r="B72" s="232"/>
      <c r="C72" s="232"/>
      <c r="D72" s="232"/>
      <c r="E72" s="232"/>
      <c r="F72" s="232"/>
      <c r="G72" s="232"/>
      <c r="H72" s="232"/>
      <c r="I72" s="232"/>
      <c r="J72" s="232"/>
      <c r="K72" s="232"/>
      <c r="L72" s="232"/>
      <c r="M72" s="232"/>
      <c r="N72" s="232"/>
      <c r="O72" s="232"/>
      <c r="P72" s="232"/>
      <c r="Q72" s="232"/>
    </row>
    <row r="73" spans="1:17">
      <c r="A73" s="232"/>
      <c r="B73" s="232"/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</row>
    <row r="74" spans="1:17">
      <c r="A74" s="232"/>
      <c r="B74" s="232"/>
      <c r="C74" s="232"/>
      <c r="D74" s="232"/>
      <c r="E74" s="232"/>
      <c r="F74" s="232"/>
      <c r="G74" s="232"/>
      <c r="H74" s="232"/>
      <c r="I74" s="232"/>
      <c r="J74" s="232"/>
      <c r="K74" s="232"/>
      <c r="L74" s="232"/>
      <c r="M74" s="232"/>
      <c r="N74" s="232"/>
      <c r="O74" s="232"/>
      <c r="P74" s="232"/>
      <c r="Q74" s="232"/>
    </row>
    <row r="75" spans="1:17">
      <c r="A75" s="232"/>
      <c r="B75" s="232"/>
      <c r="C75" s="232"/>
      <c r="D75" s="232"/>
      <c r="E75" s="232"/>
      <c r="F75" s="232"/>
      <c r="G75" s="232"/>
      <c r="H75" s="232"/>
      <c r="I75" s="232"/>
      <c r="J75" s="232"/>
      <c r="K75" s="232"/>
      <c r="L75" s="232"/>
      <c r="M75" s="232"/>
      <c r="N75" s="232"/>
      <c r="O75" s="232"/>
      <c r="P75" s="232"/>
      <c r="Q75" s="232"/>
    </row>
    <row r="76" spans="1:17">
      <c r="A76" s="232"/>
      <c r="B76" s="232"/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1:17">
      <c r="A77" s="232"/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</row>
    <row r="78" spans="1:17">
      <c r="A78" s="232"/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</row>
    <row r="79" spans="1:17">
      <c r="A79" s="232"/>
      <c r="B79" s="232"/>
      <c r="C79" s="232"/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</row>
  </sheetData>
  <sheetProtection formatCells="0" formatColumns="0" formatRows="0"/>
  <phoneticPr fontId="9" type="noConversion"/>
  <conditionalFormatting sqref="B13">
    <cfRule type="expression" dxfId="2" priority="1" stopIfTrue="1">
      <formula>OR(AND($B$13&gt;0,$B$23=0),AND($B$13=0,$B$23&gt;0))</formula>
    </cfRule>
  </conditionalFormatting>
  <conditionalFormatting sqref="B23">
    <cfRule type="expression" dxfId="1" priority="2" stopIfTrue="1">
      <formula>OR(AND($B$23&gt;0,$B$13=0),AND($B$23=0,$B$13&gt;0))</formula>
    </cfRule>
  </conditionalFormatting>
  <conditionalFormatting sqref="H13">
    <cfRule type="cellIs" dxfId="0" priority="3" stopIfTrue="1" operator="lessThan">
      <formula>0</formula>
    </cfRule>
  </conditionalFormatting>
  <pageMargins left="0.78740157480314965" right="0" top="0.39370078740157483" bottom="0" header="0" footer="0"/>
  <pageSetup paperSize="9" orientation="portrait" horizontalDpi="4294967294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="110" workbookViewId="0">
      <selection activeCell="I13" sqref="I13"/>
    </sheetView>
  </sheetViews>
  <sheetFormatPr defaultRowHeight="12.75"/>
  <cols>
    <col min="1" max="1" width="3.28515625" customWidth="1"/>
    <col min="2" max="2" width="12" customWidth="1"/>
    <col min="3" max="3" width="10.140625" customWidth="1"/>
    <col min="4" max="4" width="3.5703125" customWidth="1"/>
    <col min="5" max="5" width="14" customWidth="1"/>
    <col min="6" max="6" width="13.140625" customWidth="1"/>
    <col min="7" max="7" width="15" customWidth="1"/>
    <col min="8" max="8" width="12.7109375" customWidth="1"/>
    <col min="9" max="9" width="8" customWidth="1"/>
  </cols>
  <sheetData>
    <row r="1" spans="1:9" ht="15.75">
      <c r="A1" s="88"/>
      <c r="B1" s="92" t="s">
        <v>97</v>
      </c>
      <c r="C1" s="262">
        <f ca="1">CENA!C1</f>
        <v>2</v>
      </c>
      <c r="D1" s="92" t="s">
        <v>98</v>
      </c>
      <c r="E1" s="88"/>
      <c r="F1" s="262">
        <f ca="1">CENA!E1</f>
        <v>0</v>
      </c>
      <c r="G1" s="265"/>
      <c r="H1" s="92" t="s">
        <v>95</v>
      </c>
      <c r="I1" s="262">
        <f ca="1">CENA!C3</f>
        <v>1</v>
      </c>
    </row>
    <row r="2" spans="1:9">
      <c r="A2" s="88"/>
      <c r="B2" s="88"/>
      <c r="C2" s="88"/>
      <c r="D2" s="88"/>
      <c r="E2" s="88"/>
      <c r="F2" s="88"/>
      <c r="G2" s="88"/>
      <c r="H2" s="88"/>
      <c r="I2" s="88"/>
    </row>
    <row r="3" spans="1:9" ht="20.25">
      <c r="A3" s="88"/>
      <c r="B3" s="88"/>
      <c r="C3" s="93" t="s">
        <v>162</v>
      </c>
      <c r="D3" s="122"/>
      <c r="E3" s="122"/>
      <c r="F3" s="122"/>
      <c r="G3" s="122"/>
      <c r="H3" s="88"/>
      <c r="I3" s="88"/>
    </row>
    <row r="4" spans="1:9" ht="13.5" thickBot="1">
      <c r="A4" s="88"/>
      <c r="B4" s="88"/>
      <c r="C4" s="88"/>
      <c r="D4" s="88"/>
      <c r="E4" s="88"/>
      <c r="F4" s="88"/>
      <c r="G4" s="88"/>
      <c r="H4" s="88"/>
      <c r="I4" s="88"/>
    </row>
    <row r="5" spans="1:9">
      <c r="A5" s="203">
        <v>1</v>
      </c>
      <c r="B5" s="204" t="s">
        <v>152</v>
      </c>
      <c r="C5" s="204"/>
      <c r="D5" s="204"/>
      <c r="E5" s="204"/>
      <c r="F5" s="204"/>
      <c r="G5" s="205"/>
      <c r="H5" s="206">
        <v>36000</v>
      </c>
      <c r="I5" s="88"/>
    </row>
    <row r="6" spans="1:9">
      <c r="A6" s="207">
        <f t="shared" ref="A6:A26" si="0">A5+1</f>
        <v>2</v>
      </c>
      <c r="B6" s="208" t="s">
        <v>153</v>
      </c>
      <c r="C6" s="208"/>
      <c r="D6" s="208"/>
      <c r="E6" s="208"/>
      <c r="F6" s="208"/>
      <c r="G6" s="209"/>
      <c r="H6" s="210">
        <v>12000</v>
      </c>
      <c r="I6" s="88"/>
    </row>
    <row r="7" spans="1:9">
      <c r="A7" s="207">
        <f t="shared" si="0"/>
        <v>3</v>
      </c>
      <c r="B7" s="208" t="s">
        <v>160</v>
      </c>
      <c r="C7" s="208"/>
      <c r="D7" s="208"/>
      <c r="E7" s="208"/>
      <c r="F7" s="208"/>
      <c r="G7" s="209"/>
      <c r="H7" s="210">
        <v>1000</v>
      </c>
      <c r="I7" s="88"/>
    </row>
    <row r="8" spans="1:9">
      <c r="A8" s="207">
        <f t="shared" si="0"/>
        <v>4</v>
      </c>
      <c r="B8" s="120" t="s">
        <v>165</v>
      </c>
      <c r="C8" s="88"/>
      <c r="D8" s="88"/>
      <c r="E8" s="88"/>
      <c r="F8" s="88"/>
      <c r="G8" s="88"/>
      <c r="H8" s="210">
        <v>20</v>
      </c>
      <c r="I8" s="88"/>
    </row>
    <row r="9" spans="1:9">
      <c r="A9" s="207">
        <f t="shared" si="0"/>
        <v>5</v>
      </c>
      <c r="B9" s="208" t="s">
        <v>156</v>
      </c>
      <c r="C9" s="208"/>
      <c r="D9" s="208"/>
      <c r="E9" s="208"/>
      <c r="F9" s="208"/>
      <c r="G9" s="209"/>
      <c r="H9" s="211">
        <v>1</v>
      </c>
      <c r="I9" s="88"/>
    </row>
    <row r="10" spans="1:9">
      <c r="A10" s="207">
        <f t="shared" si="0"/>
        <v>6</v>
      </c>
      <c r="B10" s="208" t="s">
        <v>159</v>
      </c>
      <c r="C10" s="208"/>
      <c r="D10" s="208"/>
      <c r="E10" s="208"/>
      <c r="F10" s="208"/>
      <c r="G10" s="209"/>
      <c r="H10" s="210">
        <v>4</v>
      </c>
      <c r="I10" s="88"/>
    </row>
    <row r="11" spans="1:9">
      <c r="A11" s="207">
        <f t="shared" si="0"/>
        <v>7</v>
      </c>
      <c r="B11" s="208" t="s">
        <v>91</v>
      </c>
      <c r="C11" s="208"/>
      <c r="D11" s="208"/>
      <c r="E11" s="208"/>
      <c r="F11" s="208"/>
      <c r="G11" s="209"/>
      <c r="H11" s="210">
        <v>3</v>
      </c>
      <c r="I11" s="88"/>
    </row>
    <row r="12" spans="1:9">
      <c r="A12" s="207">
        <f t="shared" si="0"/>
        <v>8</v>
      </c>
      <c r="B12" s="208" t="s">
        <v>92</v>
      </c>
      <c r="C12" s="208"/>
      <c r="D12" s="208"/>
      <c r="E12" s="208"/>
      <c r="F12" s="208"/>
      <c r="G12" s="209"/>
      <c r="H12" s="210">
        <v>4000</v>
      </c>
      <c r="I12" s="88"/>
    </row>
    <row r="13" spans="1:9">
      <c r="A13" s="207">
        <f t="shared" si="0"/>
        <v>9</v>
      </c>
      <c r="B13" s="208" t="s">
        <v>93</v>
      </c>
      <c r="C13" s="208"/>
      <c r="D13" s="208"/>
      <c r="E13" s="208"/>
      <c r="F13" s="208"/>
      <c r="G13" s="209"/>
      <c r="H13" s="210">
        <v>5</v>
      </c>
      <c r="I13" s="88"/>
    </row>
    <row r="14" spans="1:9" ht="13.5" thickBot="1">
      <c r="A14" s="212">
        <f t="shared" si="0"/>
        <v>10</v>
      </c>
      <c r="B14" s="213" t="s">
        <v>90</v>
      </c>
      <c r="C14" s="213"/>
      <c r="D14" s="213"/>
      <c r="E14" s="213"/>
      <c r="F14" s="213"/>
      <c r="G14" s="214"/>
      <c r="H14" s="281">
        <f>H5/H6</f>
        <v>3</v>
      </c>
      <c r="I14" s="88"/>
    </row>
    <row r="15" spans="1:9">
      <c r="A15" s="215">
        <f t="shared" si="0"/>
        <v>11</v>
      </c>
      <c r="B15" s="216" t="s">
        <v>154</v>
      </c>
      <c r="C15" s="216"/>
      <c r="D15" s="216"/>
      <c r="E15" s="216"/>
      <c r="F15" s="216"/>
      <c r="G15" s="217"/>
      <c r="H15" s="429">
        <v>1</v>
      </c>
      <c r="I15" s="88"/>
    </row>
    <row r="16" spans="1:9">
      <c r="A16" s="207">
        <f t="shared" si="0"/>
        <v>12</v>
      </c>
      <c r="B16" s="120" t="s">
        <v>164</v>
      </c>
      <c r="C16" s="88"/>
      <c r="D16" s="88"/>
      <c r="E16" s="88"/>
      <c r="F16" s="88"/>
      <c r="G16" s="88"/>
      <c r="H16" s="428">
        <v>1</v>
      </c>
      <c r="I16" s="88"/>
    </row>
    <row r="17" spans="1:9">
      <c r="A17" s="207">
        <f t="shared" si="0"/>
        <v>13</v>
      </c>
      <c r="B17" s="208" t="s">
        <v>155</v>
      </c>
      <c r="C17" s="208"/>
      <c r="D17" s="208"/>
      <c r="E17" s="208"/>
      <c r="F17" s="208"/>
      <c r="G17" s="209"/>
      <c r="H17" s="282">
        <f>MIN(H16,(H8-H15))</f>
        <v>1</v>
      </c>
      <c r="I17" s="88"/>
    </row>
    <row r="18" spans="1:9">
      <c r="A18" s="207">
        <f t="shared" si="0"/>
        <v>14</v>
      </c>
      <c r="B18" s="208" t="s">
        <v>163</v>
      </c>
      <c r="C18" s="208"/>
      <c r="D18" s="208"/>
      <c r="E18" s="208"/>
      <c r="F18" s="208"/>
      <c r="G18" s="209"/>
      <c r="H18" s="282">
        <f>H17+H15</f>
        <v>2</v>
      </c>
      <c r="I18" s="88"/>
    </row>
    <row r="19" spans="1:9">
      <c r="A19" s="207">
        <f t="shared" si="0"/>
        <v>15</v>
      </c>
      <c r="B19" s="208" t="s">
        <v>86</v>
      </c>
      <c r="C19" s="208"/>
      <c r="D19" s="208"/>
      <c r="E19" s="208"/>
      <c r="F19" s="208"/>
      <c r="G19" s="209"/>
      <c r="H19" s="282">
        <f>H18*H7</f>
        <v>2000</v>
      </c>
      <c r="I19" s="88"/>
    </row>
    <row r="20" spans="1:9">
      <c r="A20" s="207">
        <f t="shared" si="0"/>
        <v>16</v>
      </c>
      <c r="B20" s="208" t="s">
        <v>87</v>
      </c>
      <c r="C20" s="208"/>
      <c r="D20" s="208"/>
      <c r="E20" s="208"/>
      <c r="F20" s="208"/>
      <c r="G20" s="209"/>
      <c r="H20" s="282">
        <f ca="1">H10*CENA!E9</f>
        <v>28400</v>
      </c>
      <c r="I20" s="88"/>
    </row>
    <row r="21" spans="1:9">
      <c r="A21" s="207">
        <f t="shared" si="0"/>
        <v>17</v>
      </c>
      <c r="B21" s="208" t="s">
        <v>88</v>
      </c>
      <c r="C21" s="208"/>
      <c r="D21" s="208"/>
      <c r="E21" s="208"/>
      <c r="F21" s="208"/>
      <c r="G21" s="209"/>
      <c r="H21" s="282">
        <f>MIN(H19,H20)</f>
        <v>2000</v>
      </c>
      <c r="I21" s="88"/>
    </row>
    <row r="22" spans="1:9">
      <c r="A22" s="207">
        <f t="shared" si="0"/>
        <v>18</v>
      </c>
      <c r="B22" s="208" t="s">
        <v>89</v>
      </c>
      <c r="C22" s="208"/>
      <c r="D22" s="208"/>
      <c r="E22" s="208"/>
      <c r="F22" s="208"/>
      <c r="G22" s="209"/>
      <c r="H22" s="282">
        <f>H20-H21</f>
        <v>26400</v>
      </c>
      <c r="I22" s="88"/>
    </row>
    <row r="23" spans="1:9">
      <c r="A23" s="218">
        <f t="shared" si="0"/>
        <v>19</v>
      </c>
      <c r="B23" s="219" t="s">
        <v>158</v>
      </c>
      <c r="C23" s="208"/>
      <c r="D23" s="208"/>
      <c r="E23" s="208"/>
      <c r="F23" s="208"/>
      <c r="G23" s="209"/>
      <c r="H23" s="428">
        <f>H21*H14</f>
        <v>6000</v>
      </c>
      <c r="I23" s="88"/>
    </row>
    <row r="24" spans="1:9">
      <c r="A24" s="218">
        <f t="shared" si="0"/>
        <v>20</v>
      </c>
      <c r="B24" s="219" t="s">
        <v>177</v>
      </c>
      <c r="C24" s="208"/>
      <c r="D24" s="208"/>
      <c r="E24" s="208"/>
      <c r="F24" s="208"/>
      <c r="G24" s="209"/>
      <c r="H24" s="282">
        <f xml:space="preserve"> IF(H22&lt;=H12,H11*H22,H11*H12+H13*(H22-H12))</f>
        <v>124000</v>
      </c>
      <c r="I24" s="88"/>
    </row>
    <row r="25" spans="1:9">
      <c r="A25" s="218">
        <f t="shared" si="0"/>
        <v>21</v>
      </c>
      <c r="B25" s="208" t="s">
        <v>157</v>
      </c>
      <c r="C25" s="208"/>
      <c r="D25" s="208"/>
      <c r="E25" s="208"/>
      <c r="F25" s="208"/>
      <c r="G25" s="209"/>
      <c r="H25" s="282">
        <f>IF(H15+H16&lt;H8,0,(H15+H16)-20)</f>
        <v>0</v>
      </c>
      <c r="I25" s="88"/>
    </row>
    <row r="26" spans="1:9" ht="13.5" thickBot="1">
      <c r="A26" s="220">
        <f t="shared" si="0"/>
        <v>22</v>
      </c>
      <c r="B26" s="213" t="s">
        <v>161</v>
      </c>
      <c r="C26" s="213"/>
      <c r="D26" s="213"/>
      <c r="E26" s="213"/>
      <c r="F26" s="213"/>
      <c r="G26" s="214"/>
      <c r="H26" s="281">
        <f>H25*H5*H9/100</f>
        <v>0</v>
      </c>
      <c r="I26" s="88"/>
    </row>
    <row r="30" spans="1:9">
      <c r="A30" s="11"/>
      <c r="B30" s="11"/>
      <c r="C30" s="11"/>
      <c r="D30" s="11"/>
      <c r="E30" s="11"/>
      <c r="F30" s="11"/>
      <c r="G30" s="11"/>
      <c r="H30" s="12"/>
    </row>
    <row r="31" spans="1:9">
      <c r="A31" s="11"/>
      <c r="B31" s="11"/>
      <c r="C31" s="11"/>
      <c r="D31" s="11"/>
      <c r="E31" s="11"/>
      <c r="F31" s="11"/>
      <c r="G31" s="11"/>
      <c r="H31" s="12"/>
    </row>
    <row r="34" spans="1:8">
      <c r="A34" s="11"/>
      <c r="B34" s="11"/>
      <c r="C34" s="11"/>
      <c r="D34" s="11"/>
      <c r="E34" s="11"/>
      <c r="F34" s="11"/>
      <c r="G34" s="11"/>
      <c r="H34" s="12"/>
    </row>
    <row r="35" spans="1:8">
      <c r="A35" s="11"/>
      <c r="B35" s="11"/>
      <c r="C35" s="11"/>
      <c r="D35" s="11"/>
      <c r="E35" s="11"/>
      <c r="F35" s="11"/>
      <c r="G35" s="11"/>
      <c r="H35" s="12"/>
    </row>
  </sheetData>
  <phoneticPr fontId="9" type="noConversion"/>
  <pageMargins left="0.59055118110236227" right="0" top="0.39370078740157483" bottom="0" header="0" footer="0.51181102362204722"/>
  <pageSetup paperSize="9" orientation="portrait" horizontalDpi="4294967294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opLeftCell="A13" zoomScale="120" workbookViewId="0">
      <selection activeCell="L13" sqref="L13"/>
    </sheetView>
  </sheetViews>
  <sheetFormatPr defaultRowHeight="12.75"/>
  <cols>
    <col min="1" max="1" width="3.28515625" customWidth="1"/>
    <col min="2" max="2" width="9.42578125" customWidth="1"/>
    <col min="8" max="8" width="14.140625" customWidth="1"/>
    <col min="9" max="9" width="10" bestFit="1" customWidth="1"/>
  </cols>
  <sheetData>
    <row r="1" spans="1:10" ht="15.75">
      <c r="A1" s="88"/>
      <c r="B1" s="92" t="s">
        <v>97</v>
      </c>
      <c r="C1" s="262">
        <f ca="1">CENA!C1</f>
        <v>2</v>
      </c>
      <c r="D1" s="92" t="s">
        <v>259</v>
      </c>
      <c r="E1" s="88"/>
      <c r="F1" s="262">
        <f ca="1">CENA!E1</f>
        <v>0</v>
      </c>
      <c r="G1" s="265"/>
      <c r="H1" s="92" t="s">
        <v>95</v>
      </c>
      <c r="I1" s="262">
        <f ca="1">CENA!C3</f>
        <v>1</v>
      </c>
      <c r="J1" s="88"/>
    </row>
    <row r="2" spans="1:10">
      <c r="A2" s="88"/>
      <c r="B2" s="88"/>
      <c r="C2" s="88"/>
      <c r="D2" s="88"/>
      <c r="E2" s="88"/>
      <c r="F2" s="88"/>
      <c r="G2" s="88"/>
      <c r="H2" s="88"/>
      <c r="I2" s="88"/>
      <c r="J2" s="88"/>
    </row>
    <row r="3" spans="1:10" ht="21.6" customHeight="1">
      <c r="A3" s="93" t="s">
        <v>195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3.9" customHeight="1">
      <c r="A4" s="88"/>
      <c r="B4" s="88"/>
      <c r="C4" s="88"/>
      <c r="D4" s="88"/>
      <c r="E4" s="88"/>
      <c r="F4" s="88"/>
      <c r="G4" s="88"/>
      <c r="H4" s="88"/>
      <c r="I4" s="88"/>
      <c r="J4" s="88"/>
    </row>
    <row r="5" spans="1:10" ht="16.149999999999999" customHeight="1" thickBot="1">
      <c r="A5" s="94" t="s">
        <v>179</v>
      </c>
      <c r="B5" s="88"/>
      <c r="C5" s="88"/>
      <c r="D5" s="88"/>
      <c r="E5" s="88"/>
      <c r="F5" s="88"/>
      <c r="G5" s="88"/>
      <c r="H5" s="88"/>
      <c r="I5" s="88"/>
      <c r="J5" s="88"/>
    </row>
    <row r="6" spans="1:10">
      <c r="A6" s="223" t="s">
        <v>10</v>
      </c>
      <c r="B6" s="204" t="s">
        <v>180</v>
      </c>
      <c r="C6" s="204"/>
      <c r="D6" s="204"/>
      <c r="E6" s="204"/>
      <c r="F6" s="204"/>
      <c r="G6" s="204"/>
      <c r="H6" s="205"/>
      <c r="I6" s="224">
        <v>20000</v>
      </c>
      <c r="J6" s="88"/>
    </row>
    <row r="7" spans="1:10">
      <c r="A7" s="225" t="s">
        <v>16</v>
      </c>
      <c r="B7" s="208" t="s">
        <v>181</v>
      </c>
      <c r="C7" s="208"/>
      <c r="D7" s="208"/>
      <c r="E7" s="208"/>
      <c r="F7" s="208"/>
      <c r="G7" s="208"/>
      <c r="H7" s="209"/>
      <c r="I7" s="226">
        <v>1000</v>
      </c>
      <c r="J7" s="88"/>
    </row>
    <row r="8" spans="1:10">
      <c r="A8" s="225" t="s">
        <v>19</v>
      </c>
      <c r="B8" s="208" t="s">
        <v>182</v>
      </c>
      <c r="C8" s="208"/>
      <c r="D8" s="208"/>
      <c r="E8" s="208"/>
      <c r="F8" s="208"/>
      <c r="G8" s="208"/>
      <c r="H8" s="209"/>
      <c r="I8" s="226">
        <v>4000</v>
      </c>
      <c r="J8" s="88"/>
    </row>
    <row r="9" spans="1:10">
      <c r="A9" s="225" t="s">
        <v>23</v>
      </c>
      <c r="B9" s="208" t="s">
        <v>183</v>
      </c>
      <c r="C9" s="208"/>
      <c r="D9" s="208"/>
      <c r="E9" s="208"/>
      <c r="F9" s="208"/>
      <c r="G9" s="208"/>
      <c r="H9" s="209"/>
      <c r="I9" s="294">
        <f ca="1">MATERIAŁY!G48</f>
        <v>28000</v>
      </c>
      <c r="J9" s="88"/>
    </row>
    <row r="10" spans="1:10">
      <c r="A10" s="225" t="s">
        <v>27</v>
      </c>
      <c r="B10" s="208" t="s">
        <v>184</v>
      </c>
      <c r="C10" s="208"/>
      <c r="D10" s="208"/>
      <c r="E10" s="208"/>
      <c r="F10" s="208"/>
      <c r="G10" s="208"/>
      <c r="H10" s="209"/>
      <c r="I10" s="294">
        <f>IF(I9-I6&gt;0,I9-I6,0)</f>
        <v>8000</v>
      </c>
      <c r="J10" s="88"/>
    </row>
    <row r="11" spans="1:10">
      <c r="A11" s="225" t="s">
        <v>30</v>
      </c>
      <c r="B11" s="208" t="s">
        <v>185</v>
      </c>
      <c r="C11" s="208"/>
      <c r="D11" s="208"/>
      <c r="E11" s="208"/>
      <c r="F11" s="208"/>
      <c r="G11" s="208"/>
      <c r="H11" s="209"/>
      <c r="I11" s="294">
        <f>IF(I7=0,0,I10/I7)</f>
        <v>8</v>
      </c>
      <c r="J11" s="88"/>
    </row>
    <row r="12" spans="1:10" ht="13.5" thickBot="1">
      <c r="A12" s="227" t="s">
        <v>32</v>
      </c>
      <c r="B12" s="213" t="s">
        <v>186</v>
      </c>
      <c r="C12" s="213"/>
      <c r="D12" s="213"/>
      <c r="E12" s="213"/>
      <c r="F12" s="213"/>
      <c r="G12" s="213"/>
      <c r="H12" s="214"/>
      <c r="I12" s="295">
        <f>I11*I8</f>
        <v>32000</v>
      </c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 ht="16.5" thickBot="1">
      <c r="A14" s="94" t="s">
        <v>187</v>
      </c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223" t="s">
        <v>10</v>
      </c>
      <c r="B15" s="204" t="s">
        <v>188</v>
      </c>
      <c r="C15" s="204"/>
      <c r="D15" s="204"/>
      <c r="E15" s="204"/>
      <c r="F15" s="204"/>
      <c r="G15" s="204"/>
      <c r="H15" s="205"/>
      <c r="I15" s="224">
        <v>10000</v>
      </c>
      <c r="J15" s="88"/>
    </row>
    <row r="16" spans="1:10">
      <c r="A16" s="225" t="s">
        <v>16</v>
      </c>
      <c r="B16" s="208" t="s">
        <v>189</v>
      </c>
      <c r="C16" s="208"/>
      <c r="D16" s="208"/>
      <c r="E16" s="208"/>
      <c r="F16" s="208"/>
      <c r="G16" s="208"/>
      <c r="H16" s="209"/>
      <c r="I16" s="226">
        <v>500</v>
      </c>
      <c r="J16" s="88"/>
    </row>
    <row r="17" spans="1:10">
      <c r="A17" s="225" t="s">
        <v>19</v>
      </c>
      <c r="B17" s="208" t="s">
        <v>182</v>
      </c>
      <c r="C17" s="208"/>
      <c r="D17" s="208"/>
      <c r="E17" s="208"/>
      <c r="F17" s="208"/>
      <c r="G17" s="208"/>
      <c r="H17" s="209"/>
      <c r="I17" s="226">
        <v>4000</v>
      </c>
      <c r="J17" s="88"/>
    </row>
    <row r="18" spans="1:10">
      <c r="A18" s="225" t="s">
        <v>23</v>
      </c>
      <c r="B18" s="208" t="s">
        <v>190</v>
      </c>
      <c r="C18" s="208"/>
      <c r="D18" s="208"/>
      <c r="E18" s="208"/>
      <c r="F18" s="208"/>
      <c r="G18" s="208"/>
      <c r="H18" s="209"/>
      <c r="I18" s="294">
        <f ca="1">WYR_EWID!H13</f>
        <v>100</v>
      </c>
      <c r="J18" s="88"/>
    </row>
    <row r="19" spans="1:10">
      <c r="A19" s="225" t="s">
        <v>27</v>
      </c>
      <c r="B19" s="208" t="s">
        <v>191</v>
      </c>
      <c r="C19" s="208"/>
      <c r="D19" s="208"/>
      <c r="E19" s="208"/>
      <c r="F19" s="208"/>
      <c r="G19" s="208"/>
      <c r="H19" s="209"/>
      <c r="I19" s="294">
        <f>IF(I18-I15&gt;0,I18-I15,0)</f>
        <v>0</v>
      </c>
      <c r="J19" s="88"/>
    </row>
    <row r="20" spans="1:10">
      <c r="A20" s="225" t="s">
        <v>30</v>
      </c>
      <c r="B20" s="208" t="s">
        <v>192</v>
      </c>
      <c r="C20" s="208"/>
      <c r="D20" s="208"/>
      <c r="E20" s="208"/>
      <c r="F20" s="208"/>
      <c r="G20" s="208"/>
      <c r="H20" s="209"/>
      <c r="I20" s="294">
        <f>IF(I19=0,0,I19/I16)</f>
        <v>0</v>
      </c>
      <c r="J20" s="88"/>
    </row>
    <row r="21" spans="1:10" ht="13.5" thickBot="1">
      <c r="A21" s="227" t="s">
        <v>32</v>
      </c>
      <c r="B21" s="213" t="s">
        <v>193</v>
      </c>
      <c r="C21" s="213"/>
      <c r="D21" s="213"/>
      <c r="E21" s="213"/>
      <c r="F21" s="213"/>
      <c r="G21" s="213"/>
      <c r="H21" s="214"/>
      <c r="I21" s="295">
        <f>I20*I17</f>
        <v>0</v>
      </c>
      <c r="J21" s="88"/>
    </row>
    <row r="22" spans="1:10" ht="13.5" thickBot="1">
      <c r="A22" s="88"/>
      <c r="B22" s="88"/>
      <c r="C22" s="88"/>
      <c r="D22" s="88"/>
      <c r="E22" s="88"/>
      <c r="F22" s="88"/>
      <c r="G22" s="88"/>
      <c r="H22" s="88"/>
      <c r="I22" s="122"/>
      <c r="J22" s="88"/>
    </row>
    <row r="23" spans="1:10" ht="13.5" thickBot="1">
      <c r="A23" s="228" t="s">
        <v>194</v>
      </c>
      <c r="B23" s="229"/>
      <c r="C23" s="229"/>
      <c r="D23" s="229"/>
      <c r="E23" s="229"/>
      <c r="F23" s="229"/>
      <c r="G23" s="229"/>
      <c r="H23" s="230"/>
      <c r="I23" s="296">
        <f>I21+I12</f>
        <v>32000</v>
      </c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122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</sheetData>
  <phoneticPr fontId="9" type="noConversion"/>
  <pageMargins left="0.75" right="0.75" top="1" bottom="1" header="0.5" footer="0.5"/>
  <pageSetup paperSize="9" orientation="portrait" horizontalDpi="4294967294" verticalDpi="3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"/>
  <sheetViews>
    <sheetView topLeftCell="A2" workbookViewId="0">
      <selection activeCell="H10" sqref="H10"/>
    </sheetView>
  </sheetViews>
  <sheetFormatPr defaultRowHeight="12.75"/>
  <cols>
    <col min="1" max="1" width="3.85546875" customWidth="1"/>
    <col min="4" max="4" width="9" customWidth="1"/>
    <col min="5" max="5" width="10.85546875" customWidth="1"/>
    <col min="6" max="6" width="10.28515625" customWidth="1"/>
    <col min="7" max="7" width="13.85546875" customWidth="1"/>
    <col min="10" max="10" width="11.85546875" customWidth="1"/>
    <col min="11" max="11" width="13.42578125" customWidth="1"/>
  </cols>
  <sheetData>
    <row r="1" spans="1:13" ht="15.75">
      <c r="A1" s="88"/>
      <c r="B1" s="92" t="s">
        <v>97</v>
      </c>
      <c r="C1" s="323">
        <v>1</v>
      </c>
      <c r="D1" s="92" t="s">
        <v>259</v>
      </c>
      <c r="E1" s="88"/>
      <c r="F1" s="323" t="s">
        <v>251</v>
      </c>
    </row>
    <row r="2" spans="1:13">
      <c r="J2" t="s">
        <v>352</v>
      </c>
    </row>
    <row r="3" spans="1:13" ht="20.25">
      <c r="A3" s="93" t="s">
        <v>351</v>
      </c>
      <c r="B3" s="88"/>
      <c r="C3" s="88"/>
      <c r="D3" s="88"/>
      <c r="E3" s="88"/>
      <c r="F3" s="88"/>
      <c r="J3" s="353">
        <v>0.01</v>
      </c>
      <c r="K3" s="352"/>
    </row>
    <row r="4" spans="1:13" ht="63.75">
      <c r="A4" s="351" t="s">
        <v>5</v>
      </c>
      <c r="B4" s="350" t="s">
        <v>350</v>
      </c>
      <c r="C4" s="350"/>
      <c r="D4" s="350"/>
      <c r="E4" s="349" t="s">
        <v>335</v>
      </c>
      <c r="F4" s="346" t="s">
        <v>349</v>
      </c>
      <c r="G4" s="348" t="s">
        <v>348</v>
      </c>
      <c r="H4" s="347" t="s">
        <v>347</v>
      </c>
      <c r="I4" s="346" t="s">
        <v>346</v>
      </c>
      <c r="J4" s="345" t="s">
        <v>345</v>
      </c>
      <c r="K4" s="345" t="s">
        <v>344</v>
      </c>
      <c r="L4" s="345" t="s">
        <v>343</v>
      </c>
      <c r="M4" s="345" t="s">
        <v>342</v>
      </c>
    </row>
    <row r="5" spans="1:13">
      <c r="A5" s="341" t="s">
        <v>10</v>
      </c>
      <c r="B5" s="340" t="s">
        <v>341</v>
      </c>
      <c r="C5" s="340"/>
      <c r="D5" s="340"/>
      <c r="E5" s="335">
        <v>20000</v>
      </c>
      <c r="F5" s="335">
        <v>1000</v>
      </c>
      <c r="G5" s="339">
        <v>0</v>
      </c>
      <c r="H5" s="338">
        <v>1</v>
      </c>
      <c r="I5" s="337">
        <f>IF(H5=0,0,IF(G5=0,E5,0))</f>
        <v>20000</v>
      </c>
      <c r="J5" s="337">
        <f>IF(G5+H5&gt;1,E5*J$3,0)</f>
        <v>0</v>
      </c>
      <c r="K5" s="337">
        <f>IF(G5+H5=0,0,F5)</f>
        <v>1000</v>
      </c>
      <c r="L5" s="344"/>
      <c r="M5" s="344"/>
    </row>
    <row r="6" spans="1:13">
      <c r="A6" s="341" t="s">
        <v>16</v>
      </c>
      <c r="B6" s="340" t="s">
        <v>340</v>
      </c>
      <c r="C6" s="340"/>
      <c r="D6" s="340"/>
      <c r="E6" s="335">
        <v>25000</v>
      </c>
      <c r="F6" s="335">
        <v>1400</v>
      </c>
      <c r="G6" s="339">
        <v>1</v>
      </c>
      <c r="H6" s="338">
        <v>1</v>
      </c>
      <c r="I6" s="337">
        <f>IF(H6=0,0,IF(G6=0,E6,0))</f>
        <v>0</v>
      </c>
      <c r="J6" s="337">
        <f>IF(G6+H6&gt;1,E6*J$3,0)</f>
        <v>250</v>
      </c>
      <c r="K6" s="337">
        <f>IF(G6+H6=0,0,F6)</f>
        <v>1400</v>
      </c>
      <c r="L6" s="343"/>
      <c r="M6" s="343"/>
    </row>
    <row r="7" spans="1:13">
      <c r="A7" s="341" t="s">
        <v>19</v>
      </c>
      <c r="B7" s="340" t="s">
        <v>339</v>
      </c>
      <c r="C7" s="340"/>
      <c r="D7" s="340"/>
      <c r="E7" s="335">
        <v>70000</v>
      </c>
      <c r="F7" s="335">
        <v>600</v>
      </c>
      <c r="G7" s="339">
        <v>1</v>
      </c>
      <c r="H7" s="338">
        <v>1</v>
      </c>
      <c r="I7" s="337">
        <f>IF(H7=0,0,IF(G7=0,E7,0))</f>
        <v>0</v>
      </c>
      <c r="J7" s="337">
        <f>IF(G7+H7&gt;1,E7*J$3,0)</f>
        <v>700</v>
      </c>
      <c r="K7" s="337">
        <f>IF(G7+H7=0,0,F7)</f>
        <v>600</v>
      </c>
      <c r="L7" s="343"/>
      <c r="M7" s="342"/>
    </row>
    <row r="8" spans="1:13">
      <c r="A8" s="341" t="s">
        <v>23</v>
      </c>
      <c r="B8" s="340" t="s">
        <v>338</v>
      </c>
      <c r="C8" s="340"/>
      <c r="D8" s="340"/>
      <c r="E8" s="335">
        <v>60000</v>
      </c>
      <c r="F8" s="335">
        <v>800</v>
      </c>
      <c r="G8" s="339">
        <v>1</v>
      </c>
      <c r="H8" s="338">
        <v>1</v>
      </c>
      <c r="I8" s="337">
        <f>IF(H8=0,0,IF(G8=0,E8,0))</f>
        <v>0</v>
      </c>
      <c r="J8" s="337">
        <f>IF(G8+H8&gt;1,E8*J$3,0)</f>
        <v>600</v>
      </c>
      <c r="K8" s="337">
        <f>IF(G8+H8=0,0,F8)</f>
        <v>800</v>
      </c>
      <c r="L8" s="339">
        <v>96</v>
      </c>
      <c r="M8" s="335">
        <f>IF(H8+G8=0,0,E8/L8)</f>
        <v>625</v>
      </c>
    </row>
    <row r="9" spans="1:13" ht="13.5" thickBot="1">
      <c r="A9" s="341" t="s">
        <v>27</v>
      </c>
      <c r="B9" s="340" t="s">
        <v>337</v>
      </c>
      <c r="C9" s="340"/>
      <c r="D9" s="340"/>
      <c r="E9" s="335">
        <v>96000</v>
      </c>
      <c r="F9" s="335">
        <v>2200</v>
      </c>
      <c r="G9" s="339">
        <v>1</v>
      </c>
      <c r="H9" s="338">
        <v>1</v>
      </c>
      <c r="I9" s="354">
        <f>IF(H9=0,0,IF(G9=0,E9,0))</f>
        <v>0</v>
      </c>
      <c r="J9" s="354">
        <f>IF(G9+H9&gt;1,E9*J$3,0)</f>
        <v>960</v>
      </c>
      <c r="K9" s="354">
        <f>IF(G9+H9=0,0,F9)</f>
        <v>2200</v>
      </c>
      <c r="L9" s="355">
        <v>96</v>
      </c>
      <c r="M9" s="356">
        <f>IF(H9+G9=0,0,E9/L9)</f>
        <v>1000</v>
      </c>
    </row>
    <row r="10" spans="1:13" ht="13.5" thickBot="1">
      <c r="A10" s="336"/>
      <c r="B10" s="336"/>
      <c r="C10" s="336"/>
      <c r="D10" s="336"/>
      <c r="E10" s="336"/>
      <c r="F10" s="336"/>
      <c r="G10" s="336"/>
      <c r="H10" s="432" t="s">
        <v>353</v>
      </c>
      <c r="I10" s="357">
        <f>SUM(I5:I7)</f>
        <v>20000</v>
      </c>
      <c r="J10" s="358">
        <f>SUM(J5:J9)</f>
        <v>2510</v>
      </c>
      <c r="K10" s="358">
        <f>SUM(K5:K9)</f>
        <v>6000</v>
      </c>
      <c r="L10" s="359"/>
      <c r="M10" s="360">
        <f>M8+M9</f>
        <v>1625</v>
      </c>
    </row>
    <row r="11" spans="1:13">
      <c r="A11" s="334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</row>
    <row r="12" spans="1:13" ht="20.25">
      <c r="A12" s="93" t="s">
        <v>336</v>
      </c>
      <c r="B12" s="11"/>
    </row>
    <row r="13" spans="1:13">
      <c r="A13" s="333" t="s">
        <v>10</v>
      </c>
      <c r="B13" s="332" t="s">
        <v>335</v>
      </c>
      <c r="C13" s="331"/>
      <c r="D13" s="331"/>
      <c r="E13" s="330"/>
      <c r="F13" s="303">
        <f>1800000</f>
        <v>1800000</v>
      </c>
      <c r="G13">
        <v>1</v>
      </c>
      <c r="H13">
        <v>0</v>
      </c>
      <c r="I13">
        <v>0</v>
      </c>
    </row>
    <row r="14" spans="1:13">
      <c r="A14" s="305" t="s">
        <v>16</v>
      </c>
      <c r="B14" s="300" t="s">
        <v>334</v>
      </c>
      <c r="C14" s="299"/>
      <c r="D14" s="299"/>
      <c r="E14" s="329"/>
      <c r="F14" s="303">
        <f>600</f>
        <v>600</v>
      </c>
    </row>
    <row r="15" spans="1:13">
      <c r="A15" s="328" t="s">
        <v>19</v>
      </c>
      <c r="B15" s="327" t="s">
        <v>333</v>
      </c>
      <c r="C15" s="326"/>
      <c r="D15" s="326"/>
      <c r="E15" s="325"/>
      <c r="F15" s="303">
        <f>F13/F14</f>
        <v>3000</v>
      </c>
    </row>
  </sheetData>
  <phoneticPr fontId="9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5"/>
  <sheetViews>
    <sheetView topLeftCell="F33" zoomScale="115" zoomScaleNormal="115" workbookViewId="0">
      <selection activeCell="J8" sqref="J8"/>
    </sheetView>
  </sheetViews>
  <sheetFormatPr defaultRowHeight="12.75"/>
  <cols>
    <col min="2" max="2" width="12.5703125" customWidth="1"/>
    <col min="3" max="3" width="67.140625" customWidth="1"/>
    <col min="5" max="5" width="4.5703125" customWidth="1"/>
    <col min="8" max="8" width="42.5703125" customWidth="1"/>
    <col min="9" max="9" width="11.5703125" customWidth="1"/>
  </cols>
  <sheetData>
    <row r="1" spans="1:10" ht="15.75">
      <c r="A1" s="88"/>
      <c r="B1" s="92" t="s">
        <v>97</v>
      </c>
      <c r="C1" s="323">
        <v>1</v>
      </c>
      <c r="D1" s="92" t="s">
        <v>259</v>
      </c>
      <c r="E1" s="88"/>
      <c r="F1" s="323" t="s">
        <v>251</v>
      </c>
      <c r="G1" s="324"/>
      <c r="H1" s="92" t="s">
        <v>95</v>
      </c>
      <c r="I1" s="323">
        <v>1</v>
      </c>
      <c r="J1" s="88"/>
    </row>
    <row r="2" spans="1:10" ht="20.25">
      <c r="A2" s="312" t="s">
        <v>332</v>
      </c>
      <c r="F2" s="375" t="s">
        <v>331</v>
      </c>
      <c r="G2" s="372"/>
      <c r="H2" s="372"/>
    </row>
    <row r="3" spans="1:10" ht="12.75" customHeight="1">
      <c r="A3" s="322"/>
    </row>
    <row r="4" spans="1:10">
      <c r="A4" s="317"/>
    </row>
    <row r="5" spans="1:10">
      <c r="A5" s="372"/>
      <c r="B5" s="373"/>
      <c r="C5" s="374" t="s">
        <v>330</v>
      </c>
      <c r="D5" s="24"/>
      <c r="F5" s="317" t="s">
        <v>329</v>
      </c>
      <c r="G5" s="317"/>
      <c r="H5" s="317"/>
      <c r="I5" s="307">
        <v>1200</v>
      </c>
    </row>
    <row r="6" spans="1:10">
      <c r="A6" s="317" t="s">
        <v>328</v>
      </c>
      <c r="B6" s="317"/>
      <c r="C6" s="318"/>
      <c r="D6" s="303">
        <f ca="1">CENA!E9</f>
        <v>7100</v>
      </c>
      <c r="F6" s="317" t="s">
        <v>327</v>
      </c>
      <c r="G6" s="317"/>
      <c r="H6" s="317"/>
      <c r="I6" s="307">
        <v>800</v>
      </c>
    </row>
    <row r="7" spans="1:10">
      <c r="A7" s="317" t="s">
        <v>285</v>
      </c>
      <c r="B7" s="317"/>
      <c r="C7" s="318"/>
      <c r="D7" s="307">
        <f>40</f>
        <v>40</v>
      </c>
      <c r="F7" s="317" t="s">
        <v>326</v>
      </c>
      <c r="G7" s="317"/>
      <c r="H7" s="317"/>
      <c r="I7" s="430">
        <v>72</v>
      </c>
    </row>
    <row r="8" spans="1:10">
      <c r="A8" s="317" t="s">
        <v>284</v>
      </c>
      <c r="B8" s="317"/>
      <c r="C8" s="318"/>
      <c r="D8" s="307">
        <f>4</f>
        <v>4</v>
      </c>
      <c r="F8" s="317" t="s">
        <v>325</v>
      </c>
      <c r="G8" s="317"/>
      <c r="H8" s="317"/>
      <c r="I8" s="430">
        <v>0</v>
      </c>
    </row>
    <row r="9" spans="1:10">
      <c r="A9" s="317" t="s">
        <v>283</v>
      </c>
      <c r="B9" s="317"/>
      <c r="C9" s="318"/>
      <c r="D9" s="307">
        <f>D7*D8</f>
        <v>160</v>
      </c>
      <c r="F9" s="313" t="s">
        <v>324</v>
      </c>
      <c r="G9" s="317"/>
      <c r="H9" s="317"/>
      <c r="I9" s="307">
        <f>I5*I7</f>
        <v>86400</v>
      </c>
    </row>
    <row r="10" spans="1:10">
      <c r="A10" s="317" t="s">
        <v>323</v>
      </c>
      <c r="B10" s="317"/>
      <c r="C10" s="318"/>
      <c r="D10" s="307">
        <f>4</f>
        <v>4</v>
      </c>
      <c r="F10" s="313" t="s">
        <v>322</v>
      </c>
      <c r="G10" s="317"/>
      <c r="H10" s="317"/>
      <c r="I10" s="307">
        <f>I6*I8</f>
        <v>0</v>
      </c>
    </row>
    <row r="11" spans="1:10">
      <c r="A11" s="317" t="s">
        <v>321</v>
      </c>
      <c r="B11" s="317"/>
      <c r="C11" s="318"/>
      <c r="D11" s="307">
        <f>D9*D10</f>
        <v>640</v>
      </c>
    </row>
    <row r="12" spans="1:10">
      <c r="A12" s="317" t="s">
        <v>320</v>
      </c>
      <c r="B12" s="317"/>
      <c r="C12" s="318"/>
      <c r="D12" s="307">
        <f>D6/D11</f>
        <v>11.09375</v>
      </c>
    </row>
    <row r="13" spans="1:10">
      <c r="A13" s="313" t="s">
        <v>319</v>
      </c>
      <c r="B13" s="317"/>
      <c r="C13" s="317"/>
      <c r="D13" s="307">
        <f>200</f>
        <v>200</v>
      </c>
    </row>
    <row r="14" spans="1:10">
      <c r="A14" s="313" t="s">
        <v>318</v>
      </c>
      <c r="B14" s="317"/>
      <c r="C14" s="317"/>
      <c r="D14" s="430">
        <v>8</v>
      </c>
      <c r="F14" s="317" t="s">
        <v>317</v>
      </c>
      <c r="G14" s="317"/>
      <c r="H14" s="317"/>
      <c r="I14" s="307">
        <f>IF(I15=1,D18*1000,0)</f>
        <v>27000</v>
      </c>
    </row>
    <row r="15" spans="1:10">
      <c r="A15" s="313" t="s">
        <v>316</v>
      </c>
      <c r="B15" s="317"/>
      <c r="C15" s="317"/>
      <c r="D15" s="430">
        <v>1</v>
      </c>
      <c r="F15" s="317" t="s">
        <v>315</v>
      </c>
      <c r="G15" s="317"/>
      <c r="H15" s="317"/>
      <c r="I15" s="301">
        <v>1</v>
      </c>
    </row>
    <row r="16" spans="1:10">
      <c r="A16" s="313" t="s">
        <v>314</v>
      </c>
      <c r="B16" s="317"/>
      <c r="C16" s="317"/>
      <c r="D16" s="430">
        <v>20</v>
      </c>
    </row>
    <row r="17" spans="1:9">
      <c r="A17" s="313" t="s">
        <v>313</v>
      </c>
      <c r="B17" s="317"/>
      <c r="C17" s="317"/>
      <c r="D17" s="405">
        <f>C15</f>
        <v>0</v>
      </c>
      <c r="F17" s="317" t="s">
        <v>312</v>
      </c>
      <c r="G17" s="317"/>
      <c r="H17" s="317"/>
      <c r="I17" s="301">
        <v>78720</v>
      </c>
    </row>
    <row r="18" spans="1:9">
      <c r="A18" s="313" t="s">
        <v>311</v>
      </c>
      <c r="B18" s="317"/>
      <c r="C18" s="317"/>
      <c r="D18" s="307">
        <f>D14-D15+D16-D17</f>
        <v>27</v>
      </c>
      <c r="F18" s="317" t="s">
        <v>310</v>
      </c>
      <c r="G18" s="317"/>
      <c r="H18" s="317"/>
      <c r="I18" s="301">
        <v>60486</v>
      </c>
    </row>
    <row r="19" spans="1:9">
      <c r="A19" s="313" t="s">
        <v>309</v>
      </c>
      <c r="B19" s="317"/>
      <c r="C19" s="317"/>
      <c r="D19" s="307">
        <f>IF(D17=0,D16,D16-D17)</f>
        <v>20</v>
      </c>
      <c r="F19" s="313" t="s">
        <v>308</v>
      </c>
      <c r="G19" s="317"/>
      <c r="H19" s="317"/>
      <c r="I19" s="307">
        <f>D15*I18</f>
        <v>60486</v>
      </c>
    </row>
    <row r="20" spans="1:9">
      <c r="A20" s="313" t="s">
        <v>307</v>
      </c>
      <c r="B20" s="317"/>
      <c r="C20" s="317"/>
      <c r="D20" s="307">
        <f>D19*D62</f>
        <v>1600000</v>
      </c>
    </row>
    <row r="21" spans="1:9">
      <c r="A21" s="313" t="s">
        <v>306</v>
      </c>
      <c r="B21" s="317"/>
      <c r="C21" s="317"/>
      <c r="D21" s="321">
        <f>0.01</f>
        <v>0.01</v>
      </c>
    </row>
    <row r="22" spans="1:9">
      <c r="A22" s="313" t="s">
        <v>305</v>
      </c>
      <c r="B22" s="317"/>
      <c r="C22" s="317"/>
      <c r="D22" s="320">
        <f>D17*D21*D62</f>
        <v>0</v>
      </c>
    </row>
    <row r="23" spans="1:9">
      <c r="A23" s="11"/>
      <c r="B23" s="24"/>
      <c r="C23" s="24"/>
      <c r="D23" s="319"/>
    </row>
    <row r="24" spans="1:9">
      <c r="A24" s="11"/>
      <c r="B24" s="24"/>
      <c r="C24" s="24"/>
      <c r="D24" s="319"/>
    </row>
    <row r="25" spans="1:9">
      <c r="A25" s="11"/>
      <c r="B25" s="24"/>
      <c r="C25" s="24"/>
      <c r="D25" s="319"/>
    </row>
    <row r="26" spans="1:9" ht="20.25">
      <c r="F26" s="375" t="s">
        <v>304</v>
      </c>
      <c r="G26" s="372"/>
      <c r="H26" s="372"/>
    </row>
    <row r="27" spans="1:9">
      <c r="A27" s="374" t="s">
        <v>303</v>
      </c>
      <c r="B27" s="373"/>
      <c r="C27" s="373"/>
      <c r="D27" s="24"/>
    </row>
    <row r="28" spans="1:9">
      <c r="A28" s="317" t="s">
        <v>302</v>
      </c>
      <c r="B28" s="317"/>
      <c r="C28" s="318"/>
      <c r="D28" s="307">
        <f>D6/D10</f>
        <v>1775</v>
      </c>
      <c r="F28" s="317" t="s">
        <v>301</v>
      </c>
      <c r="G28" s="317"/>
      <c r="H28" s="317"/>
      <c r="I28" s="307">
        <v>500</v>
      </c>
    </row>
    <row r="29" spans="1:9">
      <c r="A29" s="317" t="s">
        <v>300</v>
      </c>
      <c r="B29" s="317"/>
      <c r="C29" s="318"/>
      <c r="D29" s="307">
        <f>2</f>
        <v>2</v>
      </c>
      <c r="F29" s="317" t="s">
        <v>299</v>
      </c>
      <c r="G29" s="317"/>
      <c r="H29" s="317"/>
      <c r="I29" s="316">
        <f>D51</f>
        <v>51</v>
      </c>
    </row>
    <row r="30" spans="1:9">
      <c r="A30" s="317" t="s">
        <v>298</v>
      </c>
      <c r="B30" s="317"/>
      <c r="C30" s="318"/>
      <c r="D30" s="307">
        <f>D28*D29</f>
        <v>3550</v>
      </c>
      <c r="F30" s="317" t="s">
        <v>297</v>
      </c>
      <c r="G30" s="317"/>
      <c r="H30" s="317"/>
      <c r="I30" s="301">
        <v>1</v>
      </c>
    </row>
    <row r="31" spans="1:9">
      <c r="A31" s="317" t="s">
        <v>296</v>
      </c>
      <c r="B31" s="317"/>
      <c r="C31" s="318"/>
      <c r="D31" s="307">
        <f>D30/D9</f>
        <v>22.1875</v>
      </c>
      <c r="F31" s="317" t="s">
        <v>295</v>
      </c>
      <c r="G31" s="317"/>
      <c r="H31" s="317"/>
      <c r="I31" s="307">
        <f>IF(I30=1,I28*I29,0)</f>
        <v>25500</v>
      </c>
    </row>
    <row r="32" spans="1:9">
      <c r="A32" s="313" t="s">
        <v>294</v>
      </c>
      <c r="B32" s="317"/>
      <c r="C32" s="317"/>
      <c r="D32" s="301">
        <f>16+37</f>
        <v>53</v>
      </c>
    </row>
    <row r="34" spans="1:4">
      <c r="A34" s="374" t="s">
        <v>293</v>
      </c>
      <c r="B34" s="373"/>
      <c r="C34" s="373"/>
      <c r="D34" s="11"/>
    </row>
    <row r="35" spans="1:4">
      <c r="A35" s="313" t="s">
        <v>292</v>
      </c>
      <c r="B35" s="313"/>
      <c r="C35" s="314"/>
      <c r="D35" s="307">
        <f>1/D10</f>
        <v>0.25</v>
      </c>
    </row>
    <row r="36" spans="1:4">
      <c r="A36" s="313" t="s">
        <v>291</v>
      </c>
      <c r="B36" s="313"/>
      <c r="C36" s="314"/>
      <c r="D36" s="307">
        <f>D35*D29</f>
        <v>0.5</v>
      </c>
    </row>
    <row r="37" spans="1:4">
      <c r="A37" s="313" t="s">
        <v>290</v>
      </c>
      <c r="B37" s="313"/>
      <c r="C37" s="314"/>
      <c r="D37" s="430">
        <v>500</v>
      </c>
    </row>
    <row r="38" spans="1:4">
      <c r="A38" s="313" t="s">
        <v>289</v>
      </c>
      <c r="B38" s="313"/>
      <c r="C38" s="314"/>
      <c r="D38" s="307">
        <f>D37/D9</f>
        <v>3.125</v>
      </c>
    </row>
    <row r="39" spans="1:4">
      <c r="A39" s="313" t="s">
        <v>288</v>
      </c>
      <c r="B39" s="313"/>
      <c r="C39" s="314"/>
      <c r="D39" s="307">
        <f>D36*D38</f>
        <v>1.5625</v>
      </c>
    </row>
    <row r="43" spans="1:4">
      <c r="A43" s="374" t="s">
        <v>287</v>
      </c>
      <c r="B43" s="373"/>
      <c r="C43" s="373"/>
    </row>
    <row r="44" spans="1:4">
      <c r="A44" s="317" t="s">
        <v>286</v>
      </c>
      <c r="B44" s="317"/>
      <c r="C44" s="317"/>
      <c r="D44" s="303">
        <f>[1]CENA!E18</f>
        <v>4000</v>
      </c>
    </row>
    <row r="45" spans="1:4">
      <c r="A45" s="317" t="s">
        <v>285</v>
      </c>
      <c r="B45" s="317"/>
      <c r="C45" s="317"/>
      <c r="D45" s="307">
        <f>D7</f>
        <v>40</v>
      </c>
    </row>
    <row r="46" spans="1:4">
      <c r="A46" s="317" t="s">
        <v>284</v>
      </c>
      <c r="B46" s="317"/>
      <c r="C46" s="317"/>
      <c r="D46" s="307">
        <f>D8</f>
        <v>4</v>
      </c>
    </row>
    <row r="47" spans="1:4">
      <c r="A47" s="317" t="s">
        <v>283</v>
      </c>
      <c r="B47" s="317"/>
      <c r="C47" s="317"/>
      <c r="D47" s="307">
        <f>D9</f>
        <v>160</v>
      </c>
    </row>
    <row r="48" spans="1:4">
      <c r="A48" s="317" t="s">
        <v>282</v>
      </c>
      <c r="B48" s="317"/>
      <c r="C48" s="317"/>
      <c r="D48" s="307">
        <f>2</f>
        <v>2</v>
      </c>
    </row>
    <row r="49" spans="1:4">
      <c r="A49" s="317" t="s">
        <v>281</v>
      </c>
      <c r="B49" s="317"/>
      <c r="C49" s="317"/>
      <c r="D49" s="307">
        <f>D44/D48</f>
        <v>2000</v>
      </c>
    </row>
    <row r="50" spans="1:4">
      <c r="A50" s="317" t="s">
        <v>280</v>
      </c>
      <c r="B50" s="317"/>
      <c r="C50" s="317"/>
      <c r="D50" s="316">
        <f>D49/D47</f>
        <v>12.5</v>
      </c>
    </row>
    <row r="51" spans="1:4">
      <c r="A51" s="313" t="s">
        <v>279</v>
      </c>
      <c r="B51" s="313"/>
      <c r="C51" s="313"/>
      <c r="D51" s="315">
        <f>16+35</f>
        <v>51</v>
      </c>
    </row>
    <row r="53" spans="1:4">
      <c r="A53" s="374" t="s">
        <v>278</v>
      </c>
      <c r="B53" s="373"/>
      <c r="C53" s="373"/>
      <c r="D53" s="11"/>
    </row>
    <row r="54" spans="1:4">
      <c r="A54" s="313" t="s">
        <v>277</v>
      </c>
      <c r="B54" s="313"/>
      <c r="C54" s="314"/>
      <c r="D54" s="307">
        <f>1/D48</f>
        <v>0.5</v>
      </c>
    </row>
    <row r="55" spans="1:4">
      <c r="A55" s="313" t="s">
        <v>276</v>
      </c>
      <c r="B55" s="313"/>
      <c r="C55" s="314"/>
      <c r="D55" s="430">
        <v>500</v>
      </c>
    </row>
    <row r="56" spans="1:4">
      <c r="A56" s="313" t="s">
        <v>275</v>
      </c>
      <c r="B56" s="313"/>
      <c r="C56" s="314"/>
      <c r="D56" s="307">
        <f>D55/D47</f>
        <v>3.125</v>
      </c>
    </row>
    <row r="57" spans="1:4">
      <c r="A57" s="313" t="s">
        <v>274</v>
      </c>
      <c r="B57" s="313"/>
      <c r="C57" s="314"/>
      <c r="D57" s="307">
        <f>D54*D56</f>
        <v>1.5625</v>
      </c>
    </row>
    <row r="60" spans="1:4" ht="20.25">
      <c r="A60" s="375" t="s">
        <v>273</v>
      </c>
      <c r="B60" s="375"/>
      <c r="C60" s="372"/>
    </row>
    <row r="62" spans="1:4">
      <c r="A62" s="313" t="s">
        <v>272</v>
      </c>
      <c r="B62" s="313"/>
      <c r="C62" s="313"/>
      <c r="D62" s="307">
        <v>80000</v>
      </c>
    </row>
    <row r="63" spans="1:4">
      <c r="A63" s="313" t="s">
        <v>271</v>
      </c>
      <c r="B63" s="313"/>
      <c r="C63" s="313"/>
      <c r="D63" s="307">
        <v>40000</v>
      </c>
    </row>
    <row r="64" spans="1:4">
      <c r="A64" s="313" t="s">
        <v>270</v>
      </c>
      <c r="B64" s="313"/>
      <c r="C64" s="313"/>
      <c r="D64" s="307">
        <f>D62/D63</f>
        <v>2</v>
      </c>
    </row>
    <row r="65" spans="1:7">
      <c r="B65" t="s">
        <v>459</v>
      </c>
      <c r="D65" s="409">
        <f ca="1">D64*CENA!E9</f>
        <v>14200</v>
      </c>
    </row>
    <row r="67" spans="1:7" ht="20.25">
      <c r="A67" s="375" t="s">
        <v>269</v>
      </c>
      <c r="B67" s="372"/>
      <c r="C67" s="372"/>
    </row>
    <row r="69" spans="1:7">
      <c r="A69" s="305" t="s">
        <v>268</v>
      </c>
      <c r="B69" s="300"/>
      <c r="C69" s="299"/>
      <c r="D69" s="307">
        <v>1</v>
      </c>
      <c r="E69" s="308">
        <v>2</v>
      </c>
      <c r="F69" s="307">
        <v>3</v>
      </c>
      <c r="G69" s="306">
        <v>4</v>
      </c>
    </row>
    <row r="70" spans="1:7">
      <c r="A70" s="305" t="s">
        <v>267</v>
      </c>
      <c r="B70" s="300"/>
      <c r="C70" s="299"/>
      <c r="D70" s="310" t="s">
        <v>266</v>
      </c>
      <c r="E70" s="311" t="s">
        <v>266</v>
      </c>
      <c r="F70" s="310" t="s">
        <v>265</v>
      </c>
      <c r="G70" s="309" t="s">
        <v>265</v>
      </c>
    </row>
    <row r="71" spans="1:7">
      <c r="A71" s="305" t="s">
        <v>264</v>
      </c>
      <c r="B71" s="300"/>
      <c r="C71" s="299"/>
      <c r="D71" s="307">
        <v>2</v>
      </c>
      <c r="E71" s="308">
        <v>1</v>
      </c>
      <c r="F71" s="307">
        <v>2</v>
      </c>
      <c r="G71" s="306">
        <v>1</v>
      </c>
    </row>
    <row r="72" spans="1:7">
      <c r="A72" s="305" t="s">
        <v>263</v>
      </c>
      <c r="B72" s="300"/>
      <c r="C72" s="299"/>
      <c r="D72" s="303">
        <v>100</v>
      </c>
      <c r="E72" s="304">
        <v>400</v>
      </c>
      <c r="F72" s="303">
        <v>700</v>
      </c>
      <c r="G72" s="302">
        <v>1000</v>
      </c>
    </row>
    <row r="74" spans="1:7">
      <c r="A74" s="300" t="s">
        <v>262</v>
      </c>
      <c r="B74" s="299"/>
      <c r="C74" s="299"/>
      <c r="D74" s="301">
        <v>1</v>
      </c>
    </row>
    <row r="75" spans="1:7">
      <c r="A75" s="300" t="s">
        <v>261</v>
      </c>
      <c r="B75" s="299"/>
      <c r="C75" s="299"/>
      <c r="D75" s="298">
        <f>D18*IF(D74=D69,D72,IF(D74=E69,E72,IF(D74=F69,F72,G72)))</f>
        <v>2700</v>
      </c>
    </row>
  </sheetData>
  <phoneticPr fontId="9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8" activeCellId="1" sqref="H7 H8"/>
    </sheetView>
  </sheetViews>
  <sheetFormatPr defaultRowHeight="12.75"/>
  <cols>
    <col min="7" max="7" width="5.85546875" customWidth="1"/>
    <col min="8" max="8" width="11" customWidth="1"/>
  </cols>
  <sheetData>
    <row r="1" spans="1:8" ht="15.75">
      <c r="A1" s="88"/>
      <c r="B1" s="92" t="s">
        <v>97</v>
      </c>
      <c r="C1" s="323">
        <v>1</v>
      </c>
      <c r="D1" s="92" t="s">
        <v>259</v>
      </c>
      <c r="E1" s="88"/>
      <c r="F1" s="323" t="s">
        <v>251</v>
      </c>
    </row>
    <row r="3" spans="1:8" ht="20.25">
      <c r="A3" s="376" t="s">
        <v>450</v>
      </c>
      <c r="B3" s="377"/>
      <c r="C3" s="377"/>
      <c r="D3" s="88"/>
      <c r="E3" s="88"/>
      <c r="F3" s="88"/>
      <c r="G3" s="88"/>
      <c r="H3" s="88"/>
    </row>
    <row r="4" spans="1:8">
      <c r="A4" s="378" t="s">
        <v>449</v>
      </c>
      <c r="B4" s="372"/>
      <c r="C4" s="372"/>
      <c r="D4" s="372"/>
    </row>
    <row r="5" spans="1:8">
      <c r="A5" s="305" t="s">
        <v>10</v>
      </c>
      <c r="B5" s="299" t="s">
        <v>448</v>
      </c>
      <c r="C5" s="299"/>
      <c r="D5" s="299"/>
      <c r="E5" s="299"/>
      <c r="F5" s="299"/>
      <c r="G5" s="299"/>
      <c r="H5" s="371">
        <f>12%</f>
        <v>0.12</v>
      </c>
    </row>
    <row r="6" spans="1:8">
      <c r="A6" s="305" t="s">
        <v>16</v>
      </c>
      <c r="B6" s="299" t="s">
        <v>447</v>
      </c>
      <c r="C6" s="299"/>
      <c r="D6" s="299"/>
      <c r="E6" s="299"/>
      <c r="F6" s="299"/>
      <c r="G6" s="299"/>
      <c r="H6" s="303">
        <f>12000000</f>
        <v>12000000</v>
      </c>
    </row>
    <row r="7" spans="1:8">
      <c r="A7" s="305" t="s">
        <v>19</v>
      </c>
      <c r="B7" s="299" t="s">
        <v>440</v>
      </c>
      <c r="C7" s="299"/>
      <c r="D7" s="299"/>
      <c r="E7" s="299"/>
      <c r="F7" s="299"/>
      <c r="G7" s="299"/>
      <c r="H7" s="431">
        <v>1000000</v>
      </c>
    </row>
    <row r="8" spans="1:8">
      <c r="A8" s="305" t="s">
        <v>23</v>
      </c>
      <c r="B8" s="299" t="s">
        <v>446</v>
      </c>
      <c r="C8" s="299"/>
      <c r="D8" s="299"/>
      <c r="E8" s="299"/>
      <c r="F8" s="299"/>
      <c r="G8" s="299"/>
      <c r="H8" s="431">
        <v>400000</v>
      </c>
    </row>
    <row r="9" spans="1:8">
      <c r="A9" s="305" t="s">
        <v>27</v>
      </c>
      <c r="B9" s="299" t="s">
        <v>445</v>
      </c>
      <c r="C9" s="299"/>
      <c r="D9" s="299"/>
      <c r="E9" s="299"/>
      <c r="F9" s="299"/>
      <c r="G9" s="299"/>
      <c r="H9" s="370">
        <v>4200000</v>
      </c>
    </row>
    <row r="10" spans="1:8">
      <c r="A10" s="305" t="s">
        <v>30</v>
      </c>
      <c r="B10" s="299" t="s">
        <v>444</v>
      </c>
      <c r="C10" s="299"/>
      <c r="D10" s="299"/>
      <c r="E10" s="299"/>
      <c r="F10" s="299"/>
      <c r="G10" s="299"/>
      <c r="H10" s="303">
        <f>H7+H9-H8</f>
        <v>4800000</v>
      </c>
    </row>
    <row r="11" spans="1:8">
      <c r="A11" s="305" t="s">
        <v>32</v>
      </c>
      <c r="B11" s="299" t="s">
        <v>443</v>
      </c>
      <c r="C11" s="299"/>
      <c r="D11" s="299"/>
      <c r="E11" s="299"/>
      <c r="F11" s="299"/>
      <c r="G11" s="299"/>
      <c r="H11" s="303">
        <f>H10*H5/12</f>
        <v>48000</v>
      </c>
    </row>
    <row r="13" spans="1:8">
      <c r="A13" s="378" t="s">
        <v>442</v>
      </c>
      <c r="B13" s="372"/>
      <c r="C13" s="372"/>
      <c r="D13" s="372"/>
      <c r="H13" s="367"/>
    </row>
    <row r="14" spans="1:8">
      <c r="A14" s="305" t="s">
        <v>10</v>
      </c>
      <c r="B14" s="299" t="s">
        <v>441</v>
      </c>
      <c r="C14" s="299"/>
      <c r="D14" s="299"/>
      <c r="E14" s="299"/>
      <c r="F14" s="299"/>
      <c r="G14" s="299"/>
      <c r="H14" s="371">
        <f>36%</f>
        <v>0.36</v>
      </c>
    </row>
    <row r="15" spans="1:8">
      <c r="A15" s="305" t="s">
        <v>16</v>
      </c>
      <c r="B15" s="299" t="s">
        <v>440</v>
      </c>
      <c r="C15" s="299"/>
      <c r="D15" s="299"/>
      <c r="E15" s="299"/>
      <c r="F15" s="299"/>
      <c r="G15" s="299"/>
      <c r="H15" s="370">
        <v>10400069</v>
      </c>
    </row>
    <row r="16" spans="1:8">
      <c r="A16" s="305" t="s">
        <v>19</v>
      </c>
      <c r="B16" s="299" t="s">
        <v>439</v>
      </c>
      <c r="C16" s="299"/>
      <c r="D16" s="299"/>
      <c r="E16" s="299"/>
      <c r="F16" s="299"/>
      <c r="G16" s="299"/>
      <c r="H16" s="303">
        <f>H15*(H14/12)</f>
        <v>312002.07</v>
      </c>
    </row>
    <row r="17" spans="1:8">
      <c r="H17" s="367"/>
    </row>
    <row r="18" spans="1:8">
      <c r="A18" s="379" t="s">
        <v>438</v>
      </c>
      <c r="B18" s="380"/>
      <c r="C18" s="380"/>
      <c r="D18" s="380"/>
      <c r="E18" s="380"/>
      <c r="F18" s="380"/>
      <c r="G18" s="381"/>
      <c r="H18" s="366">
        <f>H11+H16</f>
        <v>360002.07</v>
      </c>
    </row>
  </sheetData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CENA</vt:lpstr>
      <vt:lpstr>MATERIAŁY</vt:lpstr>
      <vt:lpstr>PÓŁFA_EWID</vt:lpstr>
      <vt:lpstr>WYR_EWID</vt:lpstr>
      <vt:lpstr>ŚROD_NAT</vt:lpstr>
      <vt:lpstr>MAGA_OBCE</vt:lpstr>
      <vt:lpstr>URZ_DOD</vt:lpstr>
      <vt:lpstr>PERSONEL_MASZ</vt:lpstr>
      <vt:lpstr>KREDYTY</vt:lpstr>
      <vt:lpstr>PRZP_PIEN</vt:lpstr>
    </vt:vector>
  </TitlesOfParts>
  <Company>Tresor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Rzońca</dc:creator>
  <cp:lastModifiedBy>Korodak</cp:lastModifiedBy>
  <cp:lastPrinted>2004-02-16T18:35:35Z</cp:lastPrinted>
  <dcterms:created xsi:type="dcterms:W3CDTF">2001-09-14T14:14:07Z</dcterms:created>
  <dcterms:modified xsi:type="dcterms:W3CDTF">2012-03-26T18:22:24Z</dcterms:modified>
</cp:coreProperties>
</file>